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6" yWindow="108" windowWidth="27660" windowHeight="11496" activeTab="3"/>
  </bookViews>
  <sheets>
    <sheet name="time req projections" sheetId="4" r:id="rId1"/>
    <sheet name="volume projections" sheetId="1" r:id="rId2"/>
    <sheet name="productivity estimates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F21" i="3" l="1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G20" i="3"/>
  <c r="F20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F3" i="3"/>
  <c r="G3" i="3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P33" i="4"/>
  <c r="O33" i="4"/>
  <c r="K44" i="4"/>
  <c r="K37" i="4"/>
  <c r="P18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P29" i="4"/>
  <c r="P28" i="4"/>
  <c r="P27" i="4"/>
  <c r="P26" i="4"/>
  <c r="P25" i="4"/>
  <c r="P24" i="4"/>
  <c r="P23" i="4"/>
  <c r="P22" i="4"/>
  <c r="P21" i="4"/>
  <c r="P20" i="4"/>
  <c r="P19" i="4"/>
  <c r="O29" i="4"/>
  <c r="O28" i="4"/>
  <c r="O27" i="4"/>
  <c r="O26" i="4"/>
  <c r="O25" i="4"/>
  <c r="O24" i="4"/>
  <c r="O23" i="4"/>
  <c r="O22" i="4"/>
  <c r="O21" i="4"/>
  <c r="O20" i="4"/>
  <c r="O19" i="4"/>
  <c r="O18" i="4"/>
  <c r="X26" i="4"/>
  <c r="X25" i="4"/>
  <c r="X24" i="4"/>
  <c r="X23" i="4"/>
  <c r="X22" i="4"/>
  <c r="X21" i="4"/>
  <c r="X20" i="4"/>
  <c r="X19" i="4"/>
  <c r="X18" i="4"/>
  <c r="AB29" i="4"/>
  <c r="W29" i="4"/>
  <c r="X29" i="4" s="1"/>
  <c r="AB28" i="4"/>
  <c r="W28" i="4" s="1"/>
  <c r="X28" i="4" s="1"/>
  <c r="AB27" i="4"/>
  <c r="W27" i="4" s="1"/>
  <c r="X27" i="4" s="1"/>
  <c r="AB26" i="4"/>
  <c r="AA26" i="4"/>
  <c r="AB25" i="4"/>
  <c r="U25" i="4" s="1"/>
  <c r="V25" i="4" s="1"/>
  <c r="AA25" i="4"/>
  <c r="AB24" i="4"/>
  <c r="AA24" i="4"/>
  <c r="AB23" i="4"/>
  <c r="AA23" i="4"/>
  <c r="AB22" i="4"/>
  <c r="AA22" i="4"/>
  <c r="AB21" i="4"/>
  <c r="U21" i="4" s="1"/>
  <c r="V21" i="4" s="1"/>
  <c r="AA21" i="4"/>
  <c r="AB20" i="4"/>
  <c r="AA20" i="4"/>
  <c r="AB19" i="4"/>
  <c r="AA19" i="4"/>
  <c r="AB18" i="4"/>
  <c r="AA18" i="4"/>
  <c r="Q6" i="2"/>
  <c r="Q4" i="2"/>
  <c r="Q1" i="2"/>
  <c r="Q7" i="2"/>
  <c r="P3" i="4"/>
  <c r="N6" i="2"/>
  <c r="M6" i="2"/>
  <c r="L6" i="2"/>
  <c r="R12" i="4"/>
  <c r="R13" i="4"/>
  <c r="R14" i="4"/>
  <c r="O4" i="4"/>
  <c r="O5" i="4"/>
  <c r="O6" i="4"/>
  <c r="O7" i="4"/>
  <c r="O8" i="4"/>
  <c r="O9" i="4"/>
  <c r="O10" i="4"/>
  <c r="O11" i="4"/>
  <c r="O12" i="4"/>
  <c r="O13" i="4"/>
  <c r="O14" i="4"/>
  <c r="O3" i="4"/>
  <c r="K29" i="4"/>
  <c r="K22" i="4"/>
  <c r="K15" i="4"/>
  <c r="AB14" i="4"/>
  <c r="W14" i="4" s="1"/>
  <c r="AB13" i="4"/>
  <c r="W13" i="4" s="1"/>
  <c r="AB12" i="4"/>
  <c r="W12" i="4" s="1"/>
  <c r="AB11" i="4"/>
  <c r="AA11" i="4"/>
  <c r="U11" i="4" s="1"/>
  <c r="AB10" i="4"/>
  <c r="AA10" i="4"/>
  <c r="AB9" i="4"/>
  <c r="AA9" i="4"/>
  <c r="U9" i="4" s="1"/>
  <c r="AB8" i="4"/>
  <c r="AA8" i="4"/>
  <c r="K8" i="4"/>
  <c r="AB7" i="4"/>
  <c r="AA7" i="4"/>
  <c r="AB6" i="4"/>
  <c r="U6" i="4" s="1"/>
  <c r="AA6" i="4"/>
  <c r="AB5" i="4"/>
  <c r="AA5" i="4"/>
  <c r="AB4" i="4"/>
  <c r="AA4" i="4"/>
  <c r="AE3" i="4"/>
  <c r="AE4" i="4" s="1"/>
  <c r="AB3" i="4"/>
  <c r="AA3" i="4"/>
  <c r="B44" i="2"/>
  <c r="D44" i="2"/>
  <c r="C44" i="2"/>
  <c r="D20" i="2"/>
  <c r="C20" i="2"/>
  <c r="C17" i="2"/>
  <c r="D17" i="2"/>
  <c r="N25" i="2"/>
  <c r="M25" i="2"/>
  <c r="L25" i="2"/>
  <c r="I20" i="2"/>
  <c r="H20" i="2"/>
  <c r="G20" i="2"/>
  <c r="B29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U14" i="1"/>
  <c r="Q14" i="1" s="1"/>
  <c r="U13" i="1"/>
  <c r="Q13" i="1" s="1"/>
  <c r="T13" i="1" s="1"/>
  <c r="P13" i="1" s="1"/>
  <c r="U12" i="1"/>
  <c r="Q12" i="1" s="1"/>
  <c r="U11" i="1"/>
  <c r="U10" i="1"/>
  <c r="U9" i="1"/>
  <c r="U8" i="1"/>
  <c r="U7" i="1"/>
  <c r="U6" i="1"/>
  <c r="U5" i="1"/>
  <c r="U4" i="1"/>
  <c r="U3" i="1"/>
  <c r="T11" i="1"/>
  <c r="N11" i="1" s="1"/>
  <c r="T10" i="1"/>
  <c r="N10" i="1" s="1"/>
  <c r="T9" i="1"/>
  <c r="T8" i="1"/>
  <c r="T7" i="1"/>
  <c r="N7" i="1" s="1"/>
  <c r="T6" i="1"/>
  <c r="N6" i="1" s="1"/>
  <c r="T5" i="1"/>
  <c r="T4" i="1"/>
  <c r="T3" i="1"/>
  <c r="N3" i="1" s="1"/>
  <c r="O12" i="1" l="1"/>
  <c r="T12" i="1"/>
  <c r="P12" i="1" s="1"/>
  <c r="O13" i="1"/>
  <c r="N13" i="1" s="1"/>
  <c r="P4" i="1"/>
  <c r="P8" i="1"/>
  <c r="N4" i="1"/>
  <c r="N8" i="1"/>
  <c r="P5" i="1"/>
  <c r="P9" i="1"/>
  <c r="N5" i="1"/>
  <c r="N9" i="1"/>
  <c r="U20" i="4"/>
  <c r="V20" i="4" s="1"/>
  <c r="U24" i="4"/>
  <c r="V24" i="4" s="1"/>
  <c r="U19" i="4"/>
  <c r="V19" i="4" s="1"/>
  <c r="U23" i="4"/>
  <c r="V23" i="4" s="1"/>
  <c r="U5" i="4"/>
  <c r="U8" i="4"/>
  <c r="U10" i="4"/>
  <c r="U18" i="4"/>
  <c r="V18" i="4" s="1"/>
  <c r="U22" i="4"/>
  <c r="V22" i="4" s="1"/>
  <c r="U26" i="4"/>
  <c r="V26" i="4" s="1"/>
  <c r="U27" i="4"/>
  <c r="V27" i="4" s="1"/>
  <c r="AA28" i="4"/>
  <c r="U28" i="4" s="1"/>
  <c r="V28" i="4" s="1"/>
  <c r="AA27" i="4"/>
  <c r="AA29" i="4"/>
  <c r="U29" i="4" s="1"/>
  <c r="V29" i="4" s="1"/>
  <c r="Q8" i="2"/>
  <c r="U4" i="4"/>
  <c r="U3" i="4"/>
  <c r="AA13" i="4"/>
  <c r="U13" i="4" s="1"/>
  <c r="AE5" i="4"/>
  <c r="AE6" i="4"/>
  <c r="U7" i="4"/>
  <c r="AA12" i="4"/>
  <c r="U12" i="4" s="1"/>
  <c r="AA14" i="4"/>
  <c r="U14" i="4" s="1"/>
  <c r="D29" i="2"/>
  <c r="C29" i="2"/>
  <c r="P6" i="1"/>
  <c r="P10" i="1"/>
  <c r="P3" i="1"/>
  <c r="P7" i="1"/>
  <c r="P11" i="1"/>
  <c r="T14" i="1"/>
  <c r="P14" i="1"/>
  <c r="O14" i="1"/>
  <c r="X3" i="1"/>
  <c r="X4" i="1" s="1"/>
  <c r="X6" i="1" s="1"/>
  <c r="K36" i="1"/>
  <c r="K29" i="1"/>
  <c r="K22" i="1"/>
  <c r="K15" i="1"/>
  <c r="K8" i="1"/>
  <c r="N12" i="1" l="1"/>
  <c r="N14" i="1"/>
  <c r="X5" i="1"/>
</calcChain>
</file>

<file path=xl/sharedStrings.xml><?xml version="1.0" encoding="utf-8"?>
<sst xmlns="http://schemas.openxmlformats.org/spreadsheetml/2006/main" count="339" uniqueCount="97">
  <si>
    <t>M</t>
  </si>
  <si>
    <t>T</t>
  </si>
  <si>
    <t>W</t>
  </si>
  <si>
    <t>F</t>
  </si>
  <si>
    <t>June</t>
  </si>
  <si>
    <t>July</t>
  </si>
  <si>
    <t>Aug</t>
  </si>
  <si>
    <t>May</t>
  </si>
  <si>
    <t>Sept</t>
  </si>
  <si>
    <t>2012 Call Center Forecasting</t>
  </si>
  <si>
    <t>Total</t>
  </si>
  <si>
    <t>January</t>
  </si>
  <si>
    <t>Month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</si>
  <si>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</si>
  <si>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</si>
  <si>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</si>
  <si>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</si>
  <si>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</si>
  <si>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</si>
  <si>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</si>
  <si>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</si>
  <si>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Avg volume</t>
  </si>
  <si>
    <t xml:space="preserve">Calls  offered per day </t>
  </si>
  <si>
    <t>90% of SL to be met</t>
  </si>
  <si>
    <t>Calls offered per week</t>
  </si>
  <si>
    <t>MV (Calendar Var)*</t>
  </si>
  <si>
    <t>* divide data by days in month x 30.4167</t>
  </si>
  <si>
    <t>Out of the 9hrs - 11% would be for Aux Works (Breaks, Lunch, Dinner) </t>
  </si>
  <si>
    <t>1 Hour of breaks for each agent per day will give you 8hrs of Calling. </t>
  </si>
  <si>
    <t>Agents work for 9/5. (Hours of working per day / No of working days)</t>
  </si>
  <si>
    <t>2011 cases</t>
  </si>
  <si>
    <t>2012 cases</t>
  </si>
  <si>
    <t>% change 2011 to 2012</t>
  </si>
  <si>
    <t>2010 cases</t>
  </si>
  <si>
    <t>% change 2010 to 2011</t>
  </si>
  <si>
    <t>2013 cases (estimate)</t>
  </si>
  <si>
    <t>2012 Monthly Call Volume</t>
  </si>
  <si>
    <t>2013 calls (estimate)</t>
  </si>
  <si>
    <t>avg call is 10 minutes</t>
  </si>
  <si>
    <t>in january, 5000 calls = 50,0000 minutes</t>
  </si>
  <si>
    <t>liz, 2 years xp, call=8mni</t>
  </si>
  <si>
    <t>justin, 3 months xp, avg call 10 minutes</t>
  </si>
  <si>
    <t>Brett</t>
  </si>
  <si>
    <t>Dmark</t>
  </si>
  <si>
    <t>D Mark</t>
  </si>
  <si>
    <t>Tora</t>
  </si>
  <si>
    <t>Justin</t>
  </si>
  <si>
    <t>Elizabeth</t>
  </si>
  <si>
    <t>Ned</t>
  </si>
  <si>
    <t>Liz</t>
  </si>
  <si>
    <t>Jessica</t>
  </si>
  <si>
    <t>Marc</t>
  </si>
  <si>
    <t>Hire date</t>
  </si>
  <si>
    <t>6 months</t>
  </si>
  <si>
    <t>12 months</t>
  </si>
  <si>
    <t>1 year +</t>
  </si>
  <si>
    <t>year plus</t>
  </si>
  <si>
    <t xml:space="preserve">6-12 through August </t>
  </si>
  <si>
    <t>year plus in September</t>
  </si>
  <si>
    <t>1-6 til August</t>
  </si>
  <si>
    <t>6-12 in September</t>
  </si>
  <si>
    <t>1-6 months</t>
  </si>
  <si>
    <t>Tickets</t>
  </si>
  <si>
    <t>AHT</t>
  </si>
  <si>
    <t>Calls</t>
  </si>
  <si>
    <t>Jess</t>
  </si>
  <si>
    <t>Average</t>
  </si>
  <si>
    <t>6-12 months</t>
  </si>
  <si>
    <t>less than 6 months</t>
  </si>
  <si>
    <t>Year plus (with Brett)</t>
  </si>
  <si>
    <t>Year plus (w/o Brett in split role)</t>
  </si>
  <si>
    <t>2013 calls ( volume estimate)</t>
  </si>
  <si>
    <t>2012 Monthly Call Volume estimates</t>
  </si>
  <si>
    <t>2013 time estimates (avg call time is 8m18s)</t>
  </si>
  <si>
    <t>2012 time estimates  (avg call time is 8m18s)</t>
  </si>
  <si>
    <t>Current team productivity</t>
  </si>
  <si>
    <t># team members needed, 
based on Oct 2012 productivity)</t>
  </si>
  <si>
    <t>total hours/month</t>
  </si>
  <si>
    <t># team members</t>
  </si>
  <si>
    <t>lunch/break time/month</t>
  </si>
  <si>
    <t>total available hours for the whole team, each month</t>
  </si>
  <si>
    <t>average time on phone/month</t>
  </si>
  <si>
    <t>average time on cases</t>
  </si>
  <si>
    <t>time, per agent, spent in other activities (team meetings, reviews, etc)</t>
  </si>
  <si>
    <t>wrap up time (avg of 353 calls/month)</t>
  </si>
  <si>
    <t>estimate # of agents needed</t>
  </si>
  <si>
    <t>10% AR</t>
  </si>
  <si>
    <t>20% AR</t>
  </si>
  <si>
    <t>estimate # agents needed</t>
  </si>
  <si>
    <t>Optimal agent productivity</t>
  </si>
  <si>
    <t>Trials</t>
  </si>
  <si>
    <t>change 2010 to 2011</t>
  </si>
  <si>
    <t>change 2011 to 2012</t>
  </si>
  <si>
    <t>trials</t>
  </si>
  <si>
    <t>tickets</t>
  </si>
  <si>
    <t>Customers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</si>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</sst>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rebuchet MS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4" fillId="0" borderId="1" xfId="0" applyFont="1" applyBorder="1"/>
    <xf numFmtId="0" fontId="0" fillId="0" borderId="0" xfId="0" applyBorder="1"/>
    <xf numFmtId="0" fontId="2" fillId="3" borderId="1" xfId="0" applyFont="1" applyFill="1" applyBorder="1" applyAlignment="1">
      <alignment horizontal="left"/>
    </xf>
    <xf numFmtId="0" fontId="0" fillId="3" borderId="1" xfId="0" applyFill="1" applyBorder="1"/>
    <xf numFmtId="0" fontId="4" fillId="0" borderId="1" xfId="0" applyFont="1" applyBorder="1" applyAlignment="1">
      <alignment horizontal="center"/>
    </xf>
    <xf numFmtId="2" fontId="0" fillId="0" borderId="0" xfId="0" applyNumberFormat="1"/>
    <xf numFmtId="0" fontId="4" fillId="0" borderId="2" xfId="0" applyFont="1" applyFill="1" applyBorder="1"/>
    <xf numFmtId="0" fontId="6" fillId="0" borderId="0" xfId="0" applyFont="1"/>
    <xf numFmtId="0" fontId="3" fillId="3" borderId="0" xfId="0" applyFont="1" applyFill="1" applyAlignment="1"/>
    <xf numFmtId="0" fontId="1" fillId="3" borderId="0" xfId="0" applyFont="1" applyFill="1" applyAlignment="1"/>
    <xf numFmtId="0" fontId="5" fillId="3" borderId="0" xfId="0" applyFont="1" applyFill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0" fillId="0" borderId="1" xfId="0" applyFont="1" applyBorder="1"/>
    <xf numFmtId="0" fontId="4" fillId="0" borderId="0" xfId="0" applyFont="1" applyBorder="1"/>
    <xf numFmtId="0" fontId="0" fillId="3" borderId="0" xfId="0" applyFill="1" applyBorder="1"/>
    <xf numFmtId="9" fontId="0" fillId="0" borderId="0" xfId="1" applyFont="1" applyBorder="1"/>
    <xf numFmtId="0" fontId="4" fillId="0" borderId="0" xfId="0" applyFont="1" applyFill="1" applyBorder="1"/>
    <xf numFmtId="0" fontId="0" fillId="0" borderId="0" xfId="1" applyNumberFormat="1" applyFont="1" applyBorder="1"/>
    <xf numFmtId="0" fontId="1" fillId="0" borderId="0" xfId="0" applyFont="1"/>
    <xf numFmtId="0" fontId="1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1" fillId="0" borderId="0" xfId="0" applyFont="1" applyBorder="1"/>
    <xf numFmtId="0" fontId="0" fillId="0" borderId="0" xfId="0" applyFill="1" applyBorder="1"/>
    <xf numFmtId="17" fontId="0" fillId="0" borderId="0" xfId="0" applyNumberFormat="1"/>
    <xf numFmtId="16" fontId="0" fillId="0" borderId="0" xfId="0" applyNumberFormat="1"/>
    <xf numFmtId="21" fontId="0" fillId="0" borderId="0" xfId="0" applyNumberFormat="1"/>
    <xf numFmtId="46" fontId="0" fillId="0" borderId="0" xfId="0" applyNumberFormat="1"/>
    <xf numFmtId="0" fontId="0" fillId="0" borderId="0" xfId="0" applyNumberFormat="1"/>
    <xf numFmtId="46" fontId="2" fillId="0" borderId="0" xfId="0" applyNumberFormat="1" applyFont="1"/>
    <xf numFmtId="0" fontId="2" fillId="0" borderId="0" xfId="0" applyNumberFormat="1" applyFont="1"/>
    <xf numFmtId="21" fontId="2" fillId="0" borderId="0" xfId="0" applyNumberFormat="1" applyFont="1"/>
    <xf numFmtId="46" fontId="1" fillId="0" borderId="1" xfId="0" applyNumberFormat="1" applyFont="1" applyBorder="1"/>
    <xf numFmtId="21" fontId="3" fillId="3" borderId="1" xfId="0" applyNumberFormat="1" applyFont="1" applyFill="1" applyBorder="1" applyAlignment="1">
      <alignment horizontal="left"/>
    </xf>
    <xf numFmtId="1" fontId="0" fillId="0" borderId="0" xfId="0" applyNumberFormat="1"/>
    <xf numFmtId="0" fontId="1" fillId="0" borderId="0" xfId="0" applyFont="1" applyAlignment="1">
      <alignment wrapText="1"/>
    </xf>
    <xf numFmtId="1" fontId="1" fillId="0" borderId="0" xfId="0" applyNumberFormat="1" applyFont="1" applyBorder="1"/>
    <xf numFmtId="46" fontId="1" fillId="0" borderId="0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opLeftCell="L13" workbookViewId="0">
      <selection activeCell="K13" sqref="A1:K1048576"/>
    </sheetView>
  </sheetViews>
  <sheetFormatPr defaultRowHeight="14.4" x14ac:dyDescent="0.3"/>
  <cols>
    <col min="1" max="1" width="1.5546875" style="5" hidden="1" customWidth="1"/>
    <col min="2" max="2" width="6" hidden="1" customWidth="1"/>
    <col min="3" max="3" width="5" hidden="1" customWidth="1"/>
    <col min="4" max="11" width="0" hidden="1" customWidth="1"/>
    <col min="12" max="12" width="1" customWidth="1"/>
    <col min="13" max="13" width="10.88671875" bestFit="1" customWidth="1"/>
    <col min="14" max="16" width="15.44140625" style="25" customWidth="1"/>
    <col min="17" max="17" width="13.88671875" bestFit="1" customWidth="1"/>
    <col min="18" max="20" width="13.88671875" customWidth="1"/>
    <col min="21" max="21" width="15.88671875" bestFit="1" customWidth="1"/>
    <col min="22" max="24" width="15.88671875" customWidth="1"/>
    <col min="25" max="25" width="14.44140625" bestFit="1" customWidth="1"/>
    <col min="26" max="27" width="14.44140625" customWidth="1"/>
    <col min="28" max="28" width="16" bestFit="1" customWidth="1"/>
    <col min="30" max="30" width="21.109375" bestFit="1" customWidth="1"/>
  </cols>
  <sheetData>
    <row r="1" spans="1:31" ht="72.599999999999994" x14ac:dyDescent="0.3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"/>
      <c r="M1" s="6" t="s">
        <v>12</v>
      </c>
      <c r="N1" s="25" t="s">
        <v>71</v>
      </c>
      <c r="O1" s="25" t="s">
        <v>73</v>
      </c>
      <c r="P1" s="41" t="s">
        <v>76</v>
      </c>
      <c r="Q1" s="6" t="s">
        <v>72</v>
      </c>
      <c r="R1" s="6" t="s">
        <v>74</v>
      </c>
      <c r="S1" s="10" t="s">
        <v>25</v>
      </c>
      <c r="T1" s="46"/>
      <c r="U1" s="25" t="s">
        <v>35</v>
      </c>
      <c r="V1" s="25"/>
      <c r="W1" s="10" t="s">
        <v>31</v>
      </c>
      <c r="X1" s="10"/>
      <c r="Y1" s="6" t="s">
        <v>30</v>
      </c>
      <c r="Z1" s="20" t="s">
        <v>33</v>
      </c>
      <c r="AA1" s="20" t="s">
        <v>32</v>
      </c>
      <c r="AB1" s="23" t="s">
        <v>34</v>
      </c>
      <c r="AD1" s="12" t="s">
        <v>26</v>
      </c>
    </row>
    <row r="2" spans="1:31" x14ac:dyDescent="0.3">
      <c r="B2" s="14" t="s">
        <v>10</v>
      </c>
      <c r="C2" s="15"/>
      <c r="D2" s="15"/>
      <c r="E2" s="15"/>
      <c r="F2" s="15"/>
      <c r="G2" s="15"/>
      <c r="H2" s="15"/>
      <c r="I2" s="15"/>
      <c r="J2" s="15"/>
      <c r="K2" s="5"/>
      <c r="L2" s="4"/>
      <c r="M2" s="8">
        <v>2012</v>
      </c>
      <c r="N2" s="27"/>
      <c r="O2" s="39">
        <v>5.7638888888888887E-3</v>
      </c>
      <c r="P2" s="39">
        <v>5.2484626356154133E-3</v>
      </c>
      <c r="Q2" s="9"/>
      <c r="R2" s="39">
        <v>5.7638888888888887E-3</v>
      </c>
      <c r="S2" s="9"/>
      <c r="T2" s="9"/>
      <c r="U2" s="26"/>
      <c r="V2" s="26"/>
      <c r="W2" s="9"/>
      <c r="X2" s="9"/>
      <c r="Y2" s="9"/>
      <c r="Z2" s="21"/>
      <c r="AA2" s="21"/>
      <c r="AB2" s="21"/>
    </row>
    <row r="3" spans="1:31" x14ac:dyDescent="0.3">
      <c r="B3" t="s">
        <v>7</v>
      </c>
      <c r="C3">
        <v>2012</v>
      </c>
      <c r="D3" s="2"/>
      <c r="E3" s="2" t="s">
        <v>0</v>
      </c>
      <c r="F3" s="2" t="s">
        <v>1</v>
      </c>
      <c r="G3" s="2" t="s">
        <v>2</v>
      </c>
      <c r="H3" s="2" t="s">
        <v>1</v>
      </c>
      <c r="I3" s="2" t="s">
        <v>3</v>
      </c>
      <c r="J3" s="2"/>
      <c r="L3" s="4"/>
      <c r="M3" s="1" t="s">
        <v>11</v>
      </c>
      <c r="N3" s="18">
        <v>5249.4061524596655</v>
      </c>
      <c r="O3" s="38">
        <f>N3*O$2</f>
        <v>30.256993795427238</v>
      </c>
      <c r="P3" s="18">
        <f>O3/P2</f>
        <v>5764.9250639810316</v>
      </c>
      <c r="Q3" s="18">
        <v>3376.2558139534885</v>
      </c>
      <c r="R3" s="38"/>
      <c r="S3" s="18"/>
      <c r="T3" s="18"/>
      <c r="U3" s="18">
        <f>AVERAGE(AA3,AB3)*W3+W3</f>
        <v>3960.0783255397473</v>
      </c>
      <c r="V3" s="18"/>
      <c r="W3" s="1">
        <v>2547</v>
      </c>
      <c r="X3" s="1"/>
      <c r="Y3" s="1">
        <v>1539</v>
      </c>
      <c r="Z3" s="24">
        <v>1058</v>
      </c>
      <c r="AA3" s="22">
        <f>(W3-Y3)/Y3</f>
        <v>0.65497076023391809</v>
      </c>
      <c r="AB3" s="22">
        <f>(Y3-Z3)/Z3</f>
        <v>0.45463137996219283</v>
      </c>
      <c r="AC3">
        <v>57</v>
      </c>
      <c r="AD3" t="s">
        <v>21</v>
      </c>
      <c r="AE3" s="11">
        <f>SUM(Q7:Q11)/5</f>
        <v>2372.6</v>
      </c>
    </row>
    <row r="4" spans="1:31" x14ac:dyDescent="0.3">
      <c r="D4" s="1"/>
      <c r="E4" s="1"/>
      <c r="F4" s="1">
        <v>149</v>
      </c>
      <c r="G4" s="1">
        <v>145</v>
      </c>
      <c r="H4" s="1">
        <v>124</v>
      </c>
      <c r="I4" s="1">
        <v>92</v>
      </c>
      <c r="J4" s="1"/>
      <c r="L4" s="4"/>
      <c r="M4" s="1" t="s">
        <v>13</v>
      </c>
      <c r="N4" s="18">
        <v>4211.9917128492043</v>
      </c>
      <c r="O4" s="38">
        <f t="shared" ref="O4:O14" si="0">N4*O$2</f>
        <v>24.277452233783606</v>
      </c>
      <c r="P4" s="38"/>
      <c r="Q4" s="18">
        <v>2773.1162790697676</v>
      </c>
      <c r="R4" s="38"/>
      <c r="S4" s="18"/>
      <c r="T4" s="18"/>
      <c r="U4" s="18">
        <f>AVERAGE(AA4,AB4)*W4+W4</f>
        <v>3177.4674325002766</v>
      </c>
      <c r="V4" s="18"/>
      <c r="W4" s="1">
        <v>2092</v>
      </c>
      <c r="X4" s="1"/>
      <c r="Y4" s="1">
        <v>1290</v>
      </c>
      <c r="Z4" s="24">
        <v>911</v>
      </c>
      <c r="AA4" s="22">
        <f>(W4-Y4)/Y4</f>
        <v>0.6217054263565891</v>
      </c>
      <c r="AB4" s="22">
        <f>(Y4-Z4)/Z4</f>
        <v>0.41602634467618005</v>
      </c>
      <c r="AC4">
        <v>43</v>
      </c>
      <c r="AD4" t="s">
        <v>22</v>
      </c>
      <c r="AE4" s="11">
        <f>SUM(AE3)/22</f>
        <v>107.84545454545454</v>
      </c>
    </row>
    <row r="5" spans="1:31" x14ac:dyDescent="0.3">
      <c r="D5" s="1"/>
      <c r="E5" s="1">
        <v>112</v>
      </c>
      <c r="F5" s="1">
        <v>125</v>
      </c>
      <c r="G5" s="1">
        <v>138</v>
      </c>
      <c r="H5" s="1">
        <v>96</v>
      </c>
      <c r="I5" s="1">
        <v>82</v>
      </c>
      <c r="J5" s="1"/>
      <c r="L5" s="4"/>
      <c r="M5" s="1" t="s">
        <v>14</v>
      </c>
      <c r="N5" s="18">
        <v>3707.9986260124833</v>
      </c>
      <c r="O5" s="38">
        <f t="shared" si="0"/>
        <v>21.37249208048862</v>
      </c>
      <c r="P5" s="38"/>
      <c r="Q5" s="18">
        <v>2542.4651162790697</v>
      </c>
      <c r="R5" s="38"/>
      <c r="S5" s="18"/>
      <c r="T5" s="18"/>
      <c r="U5" s="18">
        <f>AVERAGE(AA5,AB5)*W5+W5</f>
        <v>2797.2621213778384</v>
      </c>
      <c r="V5" s="18"/>
      <c r="W5" s="1">
        <v>1918</v>
      </c>
      <c r="X5" s="1"/>
      <c r="Y5" s="1">
        <v>1338</v>
      </c>
      <c r="Z5" s="24">
        <v>902</v>
      </c>
      <c r="AA5" s="22">
        <f>(W5-Y5)/Y5</f>
        <v>0.43348281016442453</v>
      </c>
      <c r="AB5" s="22">
        <f>(Y5-Z5)/Z5</f>
        <v>0.48337028824833705</v>
      </c>
      <c r="AD5" t="s">
        <v>24</v>
      </c>
      <c r="AE5" s="11">
        <f>SUM(AE4)*7</f>
        <v>754.91818181818178</v>
      </c>
    </row>
    <row r="6" spans="1:31" x14ac:dyDescent="0.3">
      <c r="D6" s="1"/>
      <c r="E6" s="1">
        <v>124</v>
      </c>
      <c r="F6" s="1">
        <v>100</v>
      </c>
      <c r="G6" s="1">
        <v>105</v>
      </c>
      <c r="H6" s="1">
        <v>87</v>
      </c>
      <c r="I6" s="1">
        <v>82</v>
      </c>
      <c r="J6" s="1"/>
      <c r="L6" s="4"/>
      <c r="M6" s="1" t="s">
        <v>15</v>
      </c>
      <c r="N6" s="18">
        <v>3080.7055755445817</v>
      </c>
      <c r="O6" s="38">
        <f t="shared" si="0"/>
        <v>17.756844636819462</v>
      </c>
      <c r="P6" s="38"/>
      <c r="Q6" s="18">
        <v>2152.7441860465115</v>
      </c>
      <c r="R6" s="38"/>
      <c r="S6" s="18"/>
      <c r="T6" s="18"/>
      <c r="U6" s="18">
        <f>AVERAGE(AA6,AB6)*W6+W6</f>
        <v>2324.0410482178427</v>
      </c>
      <c r="V6" s="18"/>
      <c r="W6" s="1">
        <v>1624</v>
      </c>
      <c r="X6" s="1"/>
      <c r="Y6" s="1">
        <v>1132</v>
      </c>
      <c r="Z6" s="24">
        <v>793</v>
      </c>
      <c r="AA6" s="22">
        <f>(W6-Y6)/Y6</f>
        <v>0.43462897526501765</v>
      </c>
      <c r="AB6" s="22">
        <f>(Y6-Z6)/Z6</f>
        <v>0.42749054224464061</v>
      </c>
      <c r="AD6" t="s">
        <v>23</v>
      </c>
      <c r="AE6" s="11">
        <f>SUM(AE4)*(90/100)</f>
        <v>97.060909090909092</v>
      </c>
    </row>
    <row r="7" spans="1:31" x14ac:dyDescent="0.3">
      <c r="D7" s="1"/>
      <c r="E7" s="1">
        <v>100</v>
      </c>
      <c r="F7" s="1">
        <v>105</v>
      </c>
      <c r="G7" s="1">
        <v>107</v>
      </c>
      <c r="H7" s="1">
        <v>95</v>
      </c>
      <c r="I7" s="1">
        <v>100</v>
      </c>
      <c r="J7" s="1"/>
      <c r="L7" s="4"/>
      <c r="M7" s="1" t="s">
        <v>7</v>
      </c>
      <c r="N7" s="18">
        <v>3418.1658235772179</v>
      </c>
      <c r="O7" s="38">
        <f t="shared" si="0"/>
        <v>19.701928010896463</v>
      </c>
      <c r="P7" s="38"/>
      <c r="Q7" s="1">
        <v>2379</v>
      </c>
      <c r="R7" s="38"/>
      <c r="S7" s="1"/>
      <c r="T7" s="1"/>
      <c r="U7" s="18">
        <f>AVERAGE(AA7,AB7)*W7+W7</f>
        <v>2497.172005623037</v>
      </c>
      <c r="V7" s="18"/>
      <c r="W7" s="1">
        <v>1738</v>
      </c>
      <c r="X7" s="1"/>
      <c r="Y7" s="1">
        <v>1060</v>
      </c>
      <c r="Z7" s="24">
        <v>859</v>
      </c>
      <c r="AA7" s="22">
        <f>(W7-Y7)/Y7</f>
        <v>0.63962264150943393</v>
      </c>
      <c r="AB7" s="22">
        <f>(Y7-Z7)/Z7</f>
        <v>0.2339930151338766</v>
      </c>
    </row>
    <row r="8" spans="1:31" ht="15.75" customHeight="1" x14ac:dyDescent="0.35">
      <c r="D8" s="1"/>
      <c r="E8" s="1">
        <v>0</v>
      </c>
      <c r="F8" s="1">
        <v>96</v>
      </c>
      <c r="G8" s="1">
        <v>109</v>
      </c>
      <c r="H8" s="1">
        <v>106</v>
      </c>
      <c r="I8" s="1"/>
      <c r="J8" s="1"/>
      <c r="K8" s="3">
        <f>SUM(E4:I8)</f>
        <v>2379</v>
      </c>
      <c r="L8" s="4"/>
      <c r="M8" s="1" t="s">
        <v>4</v>
      </c>
      <c r="N8" s="18">
        <v>3070.1261543827841</v>
      </c>
      <c r="O8" s="38">
        <f t="shared" si="0"/>
        <v>17.695866028734102</v>
      </c>
      <c r="P8" s="38"/>
      <c r="Q8" s="1">
        <v>2242</v>
      </c>
      <c r="R8" s="38"/>
      <c r="S8" s="1"/>
      <c r="T8" s="1"/>
      <c r="U8" s="18">
        <f>AVERAGE(AA8,AB8)*W8+W8</f>
        <v>2467.603626314798</v>
      </c>
      <c r="V8" s="18"/>
      <c r="W8" s="1">
        <v>1802</v>
      </c>
      <c r="X8" s="1"/>
      <c r="Y8" s="1">
        <v>1029</v>
      </c>
      <c r="Z8" s="24">
        <v>1042</v>
      </c>
      <c r="AA8" s="22">
        <f>(W8-Y8)/Y8</f>
        <v>0.75121477162293493</v>
      </c>
      <c r="AB8" s="22">
        <f>(Y8-Z8)/Z8</f>
        <v>-1.2476007677543186E-2</v>
      </c>
      <c r="AD8" s="13" t="s">
        <v>29</v>
      </c>
    </row>
    <row r="9" spans="1:31" ht="15" x14ac:dyDescent="0.35">
      <c r="L9" s="4"/>
      <c r="M9" s="1" t="s">
        <v>5</v>
      </c>
      <c r="N9" s="18">
        <v>3390.828656441412</v>
      </c>
      <c r="O9" s="38">
        <f t="shared" si="0"/>
        <v>19.544359616988693</v>
      </c>
      <c r="P9" s="38"/>
      <c r="Q9" s="1">
        <v>2421</v>
      </c>
      <c r="R9" s="38"/>
      <c r="S9" s="1"/>
      <c r="T9" s="1"/>
      <c r="U9" s="18">
        <f>AVERAGE(AA9,AB9)*W9+W9</f>
        <v>2533.6675090881927</v>
      </c>
      <c r="V9" s="18"/>
      <c r="W9" s="1">
        <v>1809</v>
      </c>
      <c r="X9" s="1"/>
      <c r="Y9" s="1">
        <v>1161</v>
      </c>
      <c r="Z9" s="24">
        <v>934</v>
      </c>
      <c r="AA9" s="22">
        <f>(W9-Y9)/Y9</f>
        <v>0.55813953488372092</v>
      </c>
      <c r="AB9" s="22">
        <f>(Y9-Z9)/Z9</f>
        <v>0.2430406852248394</v>
      </c>
      <c r="AD9" s="13" t="s">
        <v>27</v>
      </c>
    </row>
    <row r="10" spans="1:31" ht="15" x14ac:dyDescent="0.35">
      <c r="B10" t="s">
        <v>4</v>
      </c>
      <c r="C10">
        <v>2012</v>
      </c>
      <c r="D10" s="2"/>
      <c r="E10" s="2" t="s">
        <v>0</v>
      </c>
      <c r="F10" s="2" t="s">
        <v>1</v>
      </c>
      <c r="G10" s="2" t="s">
        <v>2</v>
      </c>
      <c r="H10" s="2" t="s">
        <v>1</v>
      </c>
      <c r="I10" s="2" t="s">
        <v>3</v>
      </c>
      <c r="J10" s="2"/>
      <c r="L10" s="4"/>
      <c r="M10" s="1" t="s">
        <v>16</v>
      </c>
      <c r="N10" s="18">
        <v>3662.103739207409</v>
      </c>
      <c r="O10" s="38">
        <f t="shared" si="0"/>
        <v>21.107959052376039</v>
      </c>
      <c r="P10" s="38"/>
      <c r="Q10" s="1">
        <v>2547</v>
      </c>
      <c r="R10" s="38"/>
      <c r="S10" s="1"/>
      <c r="T10" s="1"/>
      <c r="U10" s="18">
        <f>AVERAGE(AA10,AB10)*W10+W10</f>
        <v>2780.7258074704077</v>
      </c>
      <c r="V10" s="18"/>
      <c r="W10" s="1">
        <v>1934</v>
      </c>
      <c r="X10" s="1"/>
      <c r="Y10" s="1">
        <v>1177</v>
      </c>
      <c r="Z10" s="24">
        <v>955</v>
      </c>
      <c r="AA10" s="22">
        <f>(W10-Y10)/Y10</f>
        <v>0.643160577740017</v>
      </c>
      <c r="AB10" s="22">
        <f>(Y10-Z10)/Z10</f>
        <v>0.23246073298429321</v>
      </c>
      <c r="AD10" s="13" t="s">
        <v>28</v>
      </c>
    </row>
    <row r="11" spans="1:31" x14ac:dyDescent="0.3">
      <c r="D11" s="1"/>
      <c r="E11" s="1"/>
      <c r="F11" s="1"/>
      <c r="G11" s="1"/>
      <c r="H11" s="1"/>
      <c r="I11" s="1">
        <v>96</v>
      </c>
      <c r="J11" s="1"/>
      <c r="L11" s="4"/>
      <c r="M11" s="1" t="s">
        <v>17</v>
      </c>
      <c r="N11" s="18">
        <v>2987.234456137367</v>
      </c>
      <c r="O11" s="38">
        <f t="shared" si="0"/>
        <v>17.218087490236211</v>
      </c>
      <c r="P11" s="38"/>
      <c r="Q11" s="1">
        <v>2274</v>
      </c>
      <c r="R11" s="38"/>
      <c r="S11" s="1"/>
      <c r="T11" s="1"/>
      <c r="U11" s="18">
        <f>AVERAGE(AA11,AB11)*W11+W11</f>
        <v>2365.8791800806498</v>
      </c>
      <c r="V11" s="18"/>
      <c r="W11" s="1">
        <v>1801</v>
      </c>
      <c r="X11" s="1"/>
      <c r="Y11" s="19">
        <v>1609</v>
      </c>
      <c r="Z11" s="24">
        <v>1067</v>
      </c>
      <c r="AA11" s="22">
        <f>(W11-Y11)/Y11</f>
        <v>0.11932877563704164</v>
      </c>
      <c r="AB11" s="22">
        <f>(Y11-Z11)/Z11</f>
        <v>0.50796626054358018</v>
      </c>
    </row>
    <row r="12" spans="1:31" ht="15" customHeight="1" x14ac:dyDescent="0.35">
      <c r="D12" s="1"/>
      <c r="E12" s="1">
        <v>175</v>
      </c>
      <c r="F12" s="1">
        <v>112</v>
      </c>
      <c r="G12" s="1">
        <v>145</v>
      </c>
      <c r="H12" s="1">
        <v>140</v>
      </c>
      <c r="I12" s="1">
        <v>75</v>
      </c>
      <c r="J12" s="1"/>
      <c r="L12" s="4"/>
      <c r="M12" s="1" t="s">
        <v>18</v>
      </c>
      <c r="N12" s="18">
        <v>7352.6629062568772</v>
      </c>
      <c r="O12" s="38">
        <f t="shared" si="0"/>
        <v>42.379932029119502</v>
      </c>
      <c r="P12" s="38"/>
      <c r="Q12" s="18">
        <v>4107.4667997402657</v>
      </c>
      <c r="R12" s="38">
        <f>Q12*R$2</f>
        <v>23.674982248502921</v>
      </c>
      <c r="S12" s="18"/>
      <c r="T12" s="18"/>
      <c r="U12" s="18">
        <f>AVERAGE(AA12,AB12)*W12+W12</f>
        <v>5546.7457012113282</v>
      </c>
      <c r="V12" s="18"/>
      <c r="W12" s="18">
        <f>Y12+(Y12*AB12)</f>
        <v>3098.6153050672183</v>
      </c>
      <c r="X12" s="18"/>
      <c r="Y12" s="1">
        <v>1731</v>
      </c>
      <c r="Z12" s="24">
        <v>967</v>
      </c>
      <c r="AA12" s="22">
        <f>(W12-Y12)/Y12</f>
        <v>0.79007238883143749</v>
      </c>
      <c r="AB12" s="22">
        <f>(Y12-Z12)/Z12</f>
        <v>0.79007238883143749</v>
      </c>
      <c r="AD12" s="13"/>
    </row>
    <row r="13" spans="1:31" ht="15" customHeight="1" x14ac:dyDescent="0.3">
      <c r="D13" s="1"/>
      <c r="E13" s="1">
        <v>151</v>
      </c>
      <c r="F13" s="1">
        <v>99</v>
      </c>
      <c r="G13" s="1">
        <v>105</v>
      </c>
      <c r="H13" s="1">
        <v>93</v>
      </c>
      <c r="I13" s="1">
        <v>97</v>
      </c>
      <c r="J13" s="1"/>
      <c r="L13" s="4"/>
      <c r="M13" s="1" t="s">
        <v>19</v>
      </c>
      <c r="N13" s="18">
        <v>4433.3904528763769</v>
      </c>
      <c r="O13" s="38">
        <f t="shared" si="0"/>
        <v>25.553569971440226</v>
      </c>
      <c r="P13" s="38"/>
      <c r="Q13" s="18">
        <v>3008.3720930232557</v>
      </c>
      <c r="R13" s="38">
        <f t="shared" ref="R13:R14" si="1">Q13*R$2</f>
        <v>17.339922480620153</v>
      </c>
      <c r="S13" s="18"/>
      <c r="T13" s="18"/>
      <c r="U13" s="18">
        <f>AVERAGE(AA13,AB13)*W13+W13</f>
        <v>3344.4875346260387</v>
      </c>
      <c r="V13" s="18"/>
      <c r="W13" s="18">
        <f>Y13+(Y13*AB13)</f>
        <v>2269.4736842105262</v>
      </c>
      <c r="X13" s="18"/>
      <c r="Y13" s="1">
        <v>1540</v>
      </c>
      <c r="Z13" s="24">
        <v>1045</v>
      </c>
      <c r="AA13" s="22">
        <f>(W13-Y13)/Y13</f>
        <v>0.47368421052631576</v>
      </c>
      <c r="AB13" s="22">
        <f>(Y13-Z13)/Z13</f>
        <v>0.47368421052631576</v>
      </c>
    </row>
    <row r="14" spans="1:31" ht="15" customHeight="1" x14ac:dyDescent="0.3">
      <c r="D14" s="1"/>
      <c r="E14" s="1">
        <v>129</v>
      </c>
      <c r="F14" s="1">
        <v>116</v>
      </c>
      <c r="G14" s="1">
        <v>92</v>
      </c>
      <c r="H14" s="1">
        <v>102</v>
      </c>
      <c r="I14" s="1">
        <v>74</v>
      </c>
      <c r="J14" s="1"/>
      <c r="L14" s="4"/>
      <c r="M14" s="1" t="s">
        <v>20</v>
      </c>
      <c r="N14" s="18">
        <v>7685.6780168261757</v>
      </c>
      <c r="O14" s="38">
        <f t="shared" si="0"/>
        <v>44.299394124761982</v>
      </c>
      <c r="P14" s="38"/>
      <c r="Q14" s="18">
        <v>4364.8075154381813</v>
      </c>
      <c r="R14" s="38">
        <f t="shared" si="1"/>
        <v>25.158265540372849</v>
      </c>
      <c r="S14" s="18"/>
      <c r="T14" s="18"/>
      <c r="U14" s="18">
        <f>AVERAGE(AA14,AB14)*W14+W14</f>
        <v>5797.9676267285186</v>
      </c>
      <c r="V14" s="18"/>
      <c r="W14" s="18">
        <f>Y14+(Y14*AB14)</f>
        <v>3292.7495291902069</v>
      </c>
      <c r="X14" s="18"/>
      <c r="Y14" s="1">
        <v>1870</v>
      </c>
      <c r="Z14" s="24">
        <v>1062</v>
      </c>
      <c r="AA14" s="22">
        <f>(W14-Y14)/Y14</f>
        <v>0.76082862523540473</v>
      </c>
      <c r="AB14" s="22">
        <f>(Y14-Z14)/Z14</f>
        <v>0.76082862523540484</v>
      </c>
    </row>
    <row r="15" spans="1:31" x14ac:dyDescent="0.3">
      <c r="D15" s="1"/>
      <c r="E15" s="1">
        <v>91</v>
      </c>
      <c r="F15" s="1">
        <v>92</v>
      </c>
      <c r="G15" s="1">
        <v>98</v>
      </c>
      <c r="H15" s="1">
        <v>94</v>
      </c>
      <c r="I15" s="1">
        <v>66</v>
      </c>
      <c r="J15" s="1"/>
      <c r="K15" s="3">
        <f>SUM(E11:I15)</f>
        <v>2242</v>
      </c>
      <c r="L15" s="4"/>
      <c r="M15" s="7"/>
      <c r="N15" s="42"/>
      <c r="O15" s="43"/>
      <c r="P15" s="43"/>
      <c r="Q15" s="18"/>
      <c r="R15" s="38"/>
      <c r="S15" s="18"/>
      <c r="T15" s="42"/>
      <c r="U15" s="42"/>
      <c r="V15" s="42"/>
      <c r="W15" s="18"/>
      <c r="X15" s="18"/>
      <c r="Y15" s="1"/>
      <c r="Z15" s="24"/>
      <c r="AA15" s="22"/>
      <c r="AB15" s="22"/>
    </row>
    <row r="16" spans="1:31" x14ac:dyDescent="0.3">
      <c r="L16" s="4"/>
      <c r="M16" s="7"/>
      <c r="N16" s="25" t="s">
        <v>37</v>
      </c>
      <c r="O16" s="44" t="s">
        <v>85</v>
      </c>
      <c r="P16" s="45"/>
      <c r="Q16" s="6" t="s">
        <v>72</v>
      </c>
      <c r="R16" s="44" t="s">
        <v>85</v>
      </c>
      <c r="S16" s="45"/>
      <c r="T16" s="47"/>
      <c r="U16" s="25" t="s">
        <v>35</v>
      </c>
      <c r="V16" s="25" t="s">
        <v>88</v>
      </c>
      <c r="W16" s="10" t="s">
        <v>31</v>
      </c>
      <c r="X16" s="25" t="s">
        <v>88</v>
      </c>
      <c r="Y16" s="6" t="s">
        <v>30</v>
      </c>
      <c r="Z16" s="20" t="s">
        <v>33</v>
      </c>
      <c r="AA16" s="20" t="s">
        <v>32</v>
      </c>
      <c r="AB16" s="23" t="s">
        <v>34</v>
      </c>
    </row>
    <row r="17" spans="2:28" x14ac:dyDescent="0.3">
      <c r="B17" t="s">
        <v>5</v>
      </c>
      <c r="C17">
        <v>2012</v>
      </c>
      <c r="D17" s="2"/>
      <c r="E17" s="2" t="s">
        <v>0</v>
      </c>
      <c r="F17" s="2" t="s">
        <v>1</v>
      </c>
      <c r="G17" s="2" t="s">
        <v>2</v>
      </c>
      <c r="H17" s="2" t="s">
        <v>1</v>
      </c>
      <c r="I17" s="2" t="s">
        <v>3</v>
      </c>
      <c r="J17" s="2"/>
      <c r="L17" s="4"/>
      <c r="M17" s="8"/>
      <c r="N17" s="27"/>
      <c r="O17" s="39" t="s">
        <v>86</v>
      </c>
      <c r="P17" s="39" t="s">
        <v>87</v>
      </c>
      <c r="Q17" s="9"/>
      <c r="R17" s="39" t="s">
        <v>86</v>
      </c>
      <c r="S17" s="39" t="s">
        <v>87</v>
      </c>
      <c r="T17" s="39"/>
      <c r="U17" s="26"/>
      <c r="V17" s="26"/>
      <c r="W17" s="9"/>
      <c r="X17" s="9"/>
      <c r="Y17" s="9"/>
      <c r="Z17" s="21"/>
      <c r="AA17" s="21"/>
      <c r="AB17" s="21"/>
    </row>
    <row r="18" spans="2:28" x14ac:dyDescent="0.3">
      <c r="D18" s="1"/>
      <c r="E18" s="1">
        <v>128</v>
      </c>
      <c r="F18" s="1">
        <v>175</v>
      </c>
      <c r="G18" s="1">
        <v>0</v>
      </c>
      <c r="H18" s="1">
        <v>123</v>
      </c>
      <c r="I18" s="1">
        <v>99</v>
      </c>
      <c r="J18" s="1"/>
      <c r="L18" s="4"/>
      <c r="M18" s="1" t="s">
        <v>11</v>
      </c>
      <c r="N18" s="18">
        <v>5249.4061524596655</v>
      </c>
      <c r="O18" s="18">
        <f>(N18*0.9*0.8)/353</f>
        <v>10.707004050342663</v>
      </c>
      <c r="P18" s="18">
        <f>(N18*0.8*0.8)/353</f>
        <v>9.517336933637921</v>
      </c>
      <c r="Q18" s="18">
        <v>3376.2558139534885</v>
      </c>
      <c r="R18" s="18">
        <f>(Q18*0.9*0.8)/353</f>
        <v>6.8864141247776534</v>
      </c>
      <c r="S18" s="18">
        <f>(Q18*0.8*0.8)/353</f>
        <v>6.1212569998023598</v>
      </c>
      <c r="T18" s="1" t="s">
        <v>11</v>
      </c>
      <c r="U18" s="18">
        <f>AVERAGE(AA18,AB18)*W18+W18</f>
        <v>3960.0783255397473</v>
      </c>
      <c r="V18" s="18">
        <f>U18*0.2/205</f>
        <v>3.8634910493070711</v>
      </c>
      <c r="W18" s="1">
        <v>2547</v>
      </c>
      <c r="X18" s="18">
        <f t="shared" ref="X18:X29" si="2">W18*0.2/205</f>
        <v>2.4848780487804878</v>
      </c>
      <c r="Y18" s="1">
        <v>1539</v>
      </c>
      <c r="Z18" s="24">
        <v>1058</v>
      </c>
      <c r="AA18" s="22">
        <f>(W18-Y18)/Y18</f>
        <v>0.65497076023391809</v>
      </c>
      <c r="AB18" s="22">
        <f>(Y18-Z18)/Z18</f>
        <v>0.45463137996219283</v>
      </c>
    </row>
    <row r="19" spans="2:28" x14ac:dyDescent="0.3">
      <c r="D19" s="1"/>
      <c r="E19" s="1">
        <v>121</v>
      </c>
      <c r="F19" s="1">
        <v>135</v>
      </c>
      <c r="G19" s="1">
        <v>120</v>
      </c>
      <c r="H19" s="1">
        <v>112</v>
      </c>
      <c r="I19" s="1">
        <v>64</v>
      </c>
      <c r="J19" s="1"/>
      <c r="L19" s="4"/>
      <c r="M19" s="1" t="s">
        <v>13</v>
      </c>
      <c r="N19" s="18">
        <v>4211.9917128492043</v>
      </c>
      <c r="O19" s="18">
        <f>(N19*0.9*0.8)/353</f>
        <v>8.5910312556697654</v>
      </c>
      <c r="P19" s="18">
        <f t="shared" ref="P19:P29" si="3">(N19*0.8*0.8)/353</f>
        <v>7.636472227262014</v>
      </c>
      <c r="Q19" s="18">
        <v>2773.1162790697676</v>
      </c>
      <c r="R19" s="18">
        <f t="shared" ref="R19:R29" si="4">(Q19*0.9*0.8)/353</f>
        <v>5.6562145068845124</v>
      </c>
      <c r="S19" s="18">
        <f t="shared" ref="S19:S29" si="5">(Q19*0.8*0.8)/353</f>
        <v>5.0277462283417886</v>
      </c>
      <c r="T19" s="1" t="s">
        <v>13</v>
      </c>
      <c r="U19" s="18">
        <f>AVERAGE(AA19,AB19)*W19+W19</f>
        <v>3177.4674325002766</v>
      </c>
      <c r="V19" s="18">
        <f t="shared" ref="V19:V29" si="6">U19*0.2/205</f>
        <v>3.0999682268295383</v>
      </c>
      <c r="W19" s="1">
        <v>2092</v>
      </c>
      <c r="X19" s="18">
        <f t="shared" si="2"/>
        <v>2.0409756097560976</v>
      </c>
      <c r="Y19" s="1">
        <v>1290</v>
      </c>
      <c r="Z19" s="24">
        <v>911</v>
      </c>
      <c r="AA19" s="22">
        <f>(W19-Y19)/Y19</f>
        <v>0.6217054263565891</v>
      </c>
      <c r="AB19" s="22">
        <f>(Y19-Z19)/Z19</f>
        <v>0.41602634467618005</v>
      </c>
    </row>
    <row r="20" spans="2:28" x14ac:dyDescent="0.3">
      <c r="D20" s="1"/>
      <c r="E20" s="1">
        <v>119</v>
      </c>
      <c r="F20" s="1">
        <v>140</v>
      </c>
      <c r="G20" s="1">
        <v>126</v>
      </c>
      <c r="H20" s="1">
        <v>97</v>
      </c>
      <c r="I20" s="1">
        <v>71</v>
      </c>
      <c r="J20" s="1"/>
      <c r="L20" s="4"/>
      <c r="M20" s="1" t="s">
        <v>14</v>
      </c>
      <c r="N20" s="18">
        <v>3707.9986260124833</v>
      </c>
      <c r="O20" s="18">
        <f>(N20*0.9*0.8)/353</f>
        <v>7.5630566876175314</v>
      </c>
      <c r="P20" s="18">
        <f t="shared" si="3"/>
        <v>6.722717055660028</v>
      </c>
      <c r="Q20" s="18">
        <v>2542.4651162790697</v>
      </c>
      <c r="R20" s="18">
        <f t="shared" si="4"/>
        <v>5.1857645431187827</v>
      </c>
      <c r="S20" s="18">
        <f t="shared" si="5"/>
        <v>4.609568482772251</v>
      </c>
      <c r="T20" s="1" t="s">
        <v>14</v>
      </c>
      <c r="U20" s="18">
        <f>AVERAGE(AA20,AB20)*W20+W20</f>
        <v>2797.2621213778384</v>
      </c>
      <c r="V20" s="18">
        <f t="shared" si="6"/>
        <v>2.7290362159783794</v>
      </c>
      <c r="W20" s="1">
        <v>1918</v>
      </c>
      <c r="X20" s="18">
        <f t="shared" si="2"/>
        <v>1.8712195121951221</v>
      </c>
      <c r="Y20" s="1">
        <v>1338</v>
      </c>
      <c r="Z20" s="24">
        <v>902</v>
      </c>
      <c r="AA20" s="22">
        <f>(W20-Y20)/Y20</f>
        <v>0.43348281016442453</v>
      </c>
      <c r="AB20" s="22">
        <f>(Y20-Z20)/Z20</f>
        <v>0.48337028824833705</v>
      </c>
    </row>
    <row r="21" spans="2:28" x14ac:dyDescent="0.3">
      <c r="D21" s="1"/>
      <c r="E21" s="1">
        <v>112</v>
      </c>
      <c r="F21" s="1">
        <v>129</v>
      </c>
      <c r="G21" s="1">
        <v>97</v>
      </c>
      <c r="H21" s="1">
        <v>134</v>
      </c>
      <c r="I21" s="1">
        <v>78</v>
      </c>
      <c r="J21" s="1"/>
      <c r="L21" s="4"/>
      <c r="M21" s="1" t="s">
        <v>15</v>
      </c>
      <c r="N21" s="18">
        <v>3080.7055755445817</v>
      </c>
      <c r="O21" s="18">
        <f t="shared" ref="O21:O29" si="7">(N21*0.9*0.8)/353</f>
        <v>6.2835921087594873</v>
      </c>
      <c r="P21" s="18">
        <f t="shared" si="3"/>
        <v>5.5854152077862116</v>
      </c>
      <c r="Q21" s="18">
        <v>2152.7441860465115</v>
      </c>
      <c r="R21" s="18">
        <f t="shared" si="4"/>
        <v>4.3908663284801372</v>
      </c>
      <c r="S21" s="18">
        <f t="shared" si="5"/>
        <v>3.9029922919823443</v>
      </c>
      <c r="T21" s="1" t="s">
        <v>15</v>
      </c>
      <c r="U21" s="18">
        <f>AVERAGE(AA21,AB21)*W21+W21</f>
        <v>2324.0410482178427</v>
      </c>
      <c r="V21" s="18">
        <f t="shared" si="6"/>
        <v>2.2673571202125293</v>
      </c>
      <c r="W21" s="1">
        <v>1624</v>
      </c>
      <c r="X21" s="18">
        <f t="shared" si="2"/>
        <v>1.5843902439024391</v>
      </c>
      <c r="Y21" s="1">
        <v>1132</v>
      </c>
      <c r="Z21" s="24">
        <v>793</v>
      </c>
      <c r="AA21" s="22">
        <f>(W21-Y21)/Y21</f>
        <v>0.43462897526501765</v>
      </c>
      <c r="AB21" s="22">
        <f>(Y21-Z21)/Z21</f>
        <v>0.42749054224464061</v>
      </c>
    </row>
    <row r="22" spans="2:28" x14ac:dyDescent="0.3">
      <c r="D22" s="1"/>
      <c r="E22" s="1">
        <v>134</v>
      </c>
      <c r="F22" s="1">
        <v>107</v>
      </c>
      <c r="G22" s="1"/>
      <c r="H22" s="1"/>
      <c r="I22" s="1"/>
      <c r="J22" s="1"/>
      <c r="K22">
        <f>SUM(E18:I22)</f>
        <v>2421</v>
      </c>
      <c r="L22" s="4"/>
      <c r="M22" s="1" t="s">
        <v>7</v>
      </c>
      <c r="N22" s="18">
        <v>3418.1658235772179</v>
      </c>
      <c r="O22" s="18">
        <f t="shared" si="7"/>
        <v>6.9718962973812939</v>
      </c>
      <c r="P22" s="18">
        <f t="shared" si="3"/>
        <v>6.197241153227818</v>
      </c>
      <c r="Q22" s="1">
        <v>2379</v>
      </c>
      <c r="R22" s="18">
        <f t="shared" si="4"/>
        <v>4.8523512747875355</v>
      </c>
      <c r="S22" s="18">
        <f t="shared" si="5"/>
        <v>4.3132011331444762</v>
      </c>
      <c r="T22" s="1" t="s">
        <v>7</v>
      </c>
      <c r="U22" s="18">
        <f>AVERAGE(AA22,AB22)*W22+W22</f>
        <v>2497.172005623037</v>
      </c>
      <c r="V22" s="18">
        <f t="shared" si="6"/>
        <v>2.4362653713395481</v>
      </c>
      <c r="W22" s="1">
        <v>1738</v>
      </c>
      <c r="X22" s="18">
        <f t="shared" si="2"/>
        <v>1.6956097560975611</v>
      </c>
      <c r="Y22" s="1">
        <v>1060</v>
      </c>
      <c r="Z22" s="24">
        <v>859</v>
      </c>
      <c r="AA22" s="22">
        <f>(W22-Y22)/Y22</f>
        <v>0.63962264150943393</v>
      </c>
      <c r="AB22" s="22">
        <f>(Y22-Z22)/Z22</f>
        <v>0.2339930151338766</v>
      </c>
    </row>
    <row r="23" spans="2:28" x14ac:dyDescent="0.3">
      <c r="L23" s="4"/>
      <c r="M23" s="1" t="s">
        <v>4</v>
      </c>
      <c r="N23" s="18">
        <v>3070.1261543827841</v>
      </c>
      <c r="O23" s="18">
        <f t="shared" si="7"/>
        <v>6.2620136859932138</v>
      </c>
      <c r="P23" s="18">
        <f t="shared" si="3"/>
        <v>5.5662343875495237</v>
      </c>
      <c r="Q23" s="1">
        <v>2242</v>
      </c>
      <c r="R23" s="18">
        <f t="shared" si="4"/>
        <v>4.5729178470254954</v>
      </c>
      <c r="S23" s="18">
        <f t="shared" si="5"/>
        <v>4.0648158640226635</v>
      </c>
      <c r="T23" s="1" t="s">
        <v>4</v>
      </c>
      <c r="U23" s="18">
        <f>AVERAGE(AA23,AB23)*W23+W23</f>
        <v>2467.603626314798</v>
      </c>
      <c r="V23" s="18">
        <f t="shared" si="6"/>
        <v>2.4074181720144372</v>
      </c>
      <c r="W23" s="1">
        <v>1802</v>
      </c>
      <c r="X23" s="18">
        <f t="shared" si="2"/>
        <v>1.7580487804878051</v>
      </c>
      <c r="Y23" s="1">
        <v>1029</v>
      </c>
      <c r="Z23" s="24">
        <v>1042</v>
      </c>
      <c r="AA23" s="22">
        <f>(W23-Y23)/Y23</f>
        <v>0.75121477162293493</v>
      </c>
      <c r="AB23" s="22">
        <f>(Y23-Z23)/Z23</f>
        <v>-1.2476007677543186E-2</v>
      </c>
    </row>
    <row r="24" spans="2:28" x14ac:dyDescent="0.3">
      <c r="B24" t="s">
        <v>6</v>
      </c>
      <c r="C24">
        <v>2012</v>
      </c>
      <c r="D24" s="2"/>
      <c r="E24" s="2" t="s">
        <v>0</v>
      </c>
      <c r="F24" s="2" t="s">
        <v>1</v>
      </c>
      <c r="G24" s="2" t="s">
        <v>2</v>
      </c>
      <c r="H24" s="2" t="s">
        <v>1</v>
      </c>
      <c r="I24" s="2" t="s">
        <v>3</v>
      </c>
      <c r="J24" s="2"/>
      <c r="L24" s="4"/>
      <c r="M24" s="1" t="s">
        <v>5</v>
      </c>
      <c r="N24" s="18">
        <v>3390.828656441412</v>
      </c>
      <c r="O24" s="18">
        <f t="shared" si="7"/>
        <v>6.916137769512229</v>
      </c>
      <c r="P24" s="18">
        <f t="shared" si="3"/>
        <v>6.1476780173442043</v>
      </c>
      <c r="Q24" s="1">
        <v>2421</v>
      </c>
      <c r="R24" s="18">
        <f t="shared" si="4"/>
        <v>4.9380169971671393</v>
      </c>
      <c r="S24" s="18">
        <f t="shared" si="5"/>
        <v>4.3893484419263462</v>
      </c>
      <c r="T24" s="1" t="s">
        <v>5</v>
      </c>
      <c r="U24" s="18">
        <f>AVERAGE(AA24,AB24)*W24+W24</f>
        <v>2533.6675090881927</v>
      </c>
      <c r="V24" s="18">
        <f t="shared" si="6"/>
        <v>2.4718707405738467</v>
      </c>
      <c r="W24" s="1">
        <v>1809</v>
      </c>
      <c r="X24" s="18">
        <f t="shared" si="2"/>
        <v>1.7648780487804878</v>
      </c>
      <c r="Y24" s="1">
        <v>1161</v>
      </c>
      <c r="Z24" s="24">
        <v>934</v>
      </c>
      <c r="AA24" s="22">
        <f>(W24-Y24)/Y24</f>
        <v>0.55813953488372092</v>
      </c>
      <c r="AB24" s="22">
        <f>(Y24-Z24)/Z24</f>
        <v>0.2430406852248394</v>
      </c>
    </row>
    <row r="25" spans="2:28" x14ac:dyDescent="0.3">
      <c r="D25" s="1"/>
      <c r="E25" s="1"/>
      <c r="F25" s="1"/>
      <c r="G25" s="1">
        <v>137</v>
      </c>
      <c r="H25" s="1">
        <v>101</v>
      </c>
      <c r="I25" s="1">
        <v>95</v>
      </c>
      <c r="J25" s="1"/>
      <c r="L25" s="4"/>
      <c r="M25" s="1" t="s">
        <v>16</v>
      </c>
      <c r="N25" s="18">
        <v>3662.103739207409</v>
      </c>
      <c r="O25" s="18">
        <f t="shared" si="7"/>
        <v>7.469446720196415</v>
      </c>
      <c r="P25" s="18">
        <f t="shared" si="3"/>
        <v>6.6395081957301469</v>
      </c>
      <c r="Q25" s="1">
        <v>2547</v>
      </c>
      <c r="R25" s="18">
        <f t="shared" si="4"/>
        <v>5.1950141643059498</v>
      </c>
      <c r="S25" s="18">
        <f t="shared" si="5"/>
        <v>4.6177903682719554</v>
      </c>
      <c r="T25" s="1" t="s">
        <v>16</v>
      </c>
      <c r="U25" s="18">
        <f>AVERAGE(AA25,AB25)*W25+W25</f>
        <v>2780.7258074704077</v>
      </c>
      <c r="V25" s="18">
        <f t="shared" si="6"/>
        <v>2.7129032268003979</v>
      </c>
      <c r="W25" s="1">
        <v>1934</v>
      </c>
      <c r="X25" s="18">
        <f t="shared" si="2"/>
        <v>1.886829268292683</v>
      </c>
      <c r="Y25" s="1">
        <v>1177</v>
      </c>
      <c r="Z25" s="24">
        <v>955</v>
      </c>
      <c r="AA25" s="22">
        <f>(W25-Y25)/Y25</f>
        <v>0.643160577740017</v>
      </c>
      <c r="AB25" s="22">
        <f>(Y25-Z25)/Z25</f>
        <v>0.23246073298429321</v>
      </c>
    </row>
    <row r="26" spans="2:28" x14ac:dyDescent="0.3">
      <c r="D26" s="1"/>
      <c r="E26" s="1">
        <v>143</v>
      </c>
      <c r="F26" s="1">
        <v>141</v>
      </c>
      <c r="G26" s="1">
        <v>134</v>
      </c>
      <c r="H26" s="1">
        <v>86</v>
      </c>
      <c r="I26" s="1">
        <v>75</v>
      </c>
      <c r="J26" s="1"/>
      <c r="L26" s="4"/>
      <c r="M26" s="1" t="s">
        <v>17</v>
      </c>
      <c r="N26" s="18">
        <v>2987.234456137367</v>
      </c>
      <c r="O26" s="18">
        <f t="shared" si="7"/>
        <v>6.0929428000535539</v>
      </c>
      <c r="P26" s="18">
        <f t="shared" si="3"/>
        <v>5.4159491556031591</v>
      </c>
      <c r="Q26" s="1">
        <v>2274</v>
      </c>
      <c r="R26" s="18">
        <f t="shared" si="4"/>
        <v>4.6381869688385278</v>
      </c>
      <c r="S26" s="18">
        <f t="shared" si="5"/>
        <v>4.122832861189802</v>
      </c>
      <c r="T26" s="1" t="s">
        <v>17</v>
      </c>
      <c r="U26" s="18">
        <f>AVERAGE(AA26,AB26)*W26+W26</f>
        <v>2365.8791800806498</v>
      </c>
      <c r="V26" s="18">
        <f t="shared" si="6"/>
        <v>2.3081748098347807</v>
      </c>
      <c r="W26" s="1">
        <v>1801</v>
      </c>
      <c r="X26" s="18">
        <f t="shared" si="2"/>
        <v>1.7570731707317075</v>
      </c>
      <c r="Y26" s="19">
        <v>1609</v>
      </c>
      <c r="Z26" s="24">
        <v>1067</v>
      </c>
      <c r="AA26" s="22">
        <f>(W26-Y26)/Y26</f>
        <v>0.11932877563704164</v>
      </c>
      <c r="AB26" s="22">
        <f>(Y26-Z26)/Z26</f>
        <v>0.50796626054358018</v>
      </c>
    </row>
    <row r="27" spans="2:28" x14ac:dyDescent="0.3">
      <c r="D27" s="1"/>
      <c r="E27" s="1">
        <v>159</v>
      </c>
      <c r="F27" s="1">
        <v>105</v>
      </c>
      <c r="G27" s="1">
        <v>143</v>
      </c>
      <c r="H27" s="1">
        <v>99</v>
      </c>
      <c r="I27" s="1">
        <v>93</v>
      </c>
      <c r="J27" s="1"/>
      <c r="L27" s="4"/>
      <c r="M27" s="1" t="s">
        <v>18</v>
      </c>
      <c r="N27" s="18">
        <v>7352.6629062568772</v>
      </c>
      <c r="O27" s="18">
        <f t="shared" si="7"/>
        <v>14.996932839957372</v>
      </c>
      <c r="P27" s="18">
        <f t="shared" si="3"/>
        <v>13.330606968850999</v>
      </c>
      <c r="Q27" s="18">
        <v>4107.4667997402657</v>
      </c>
      <c r="R27" s="18">
        <f t="shared" si="4"/>
        <v>8.3778359654758958</v>
      </c>
      <c r="S27" s="18">
        <f t="shared" si="5"/>
        <v>7.4469653026452418</v>
      </c>
      <c r="T27" s="1" t="s">
        <v>18</v>
      </c>
      <c r="U27" s="18">
        <f>AVERAGE(AA27,AB27)*W27+W27</f>
        <v>5546.7457012113282</v>
      </c>
      <c r="V27" s="18">
        <f t="shared" si="6"/>
        <v>5.4114592206939793</v>
      </c>
      <c r="W27" s="18">
        <f>Y27+(Y27*AB27)</f>
        <v>3098.6153050672183</v>
      </c>
      <c r="X27" s="18">
        <f t="shared" si="2"/>
        <v>3.0230393220167988</v>
      </c>
      <c r="Y27" s="1">
        <v>1731</v>
      </c>
      <c r="Z27" s="24">
        <v>967</v>
      </c>
      <c r="AA27" s="22">
        <f>(W27-Y27)/Y27</f>
        <v>0.79007238883143749</v>
      </c>
      <c r="AB27" s="22">
        <f>(Y27-Z27)/Z27</f>
        <v>0.79007238883143749</v>
      </c>
    </row>
    <row r="28" spans="2:28" x14ac:dyDescent="0.3">
      <c r="D28" s="1"/>
      <c r="E28" s="1">
        <v>122</v>
      </c>
      <c r="F28" s="1">
        <v>100</v>
      </c>
      <c r="G28" s="1">
        <v>116</v>
      </c>
      <c r="H28" s="1">
        <v>83</v>
      </c>
      <c r="I28" s="1">
        <v>76</v>
      </c>
      <c r="J28" s="1"/>
      <c r="L28" s="4"/>
      <c r="M28" s="1" t="s">
        <v>19</v>
      </c>
      <c r="N28" s="18">
        <v>4433.3904528763769</v>
      </c>
      <c r="O28" s="18">
        <f t="shared" si="7"/>
        <v>9.042609422297426</v>
      </c>
      <c r="P28" s="18">
        <f t="shared" si="3"/>
        <v>8.0378750420421579</v>
      </c>
      <c r="Q28" s="18">
        <v>3008.3720930232557</v>
      </c>
      <c r="R28" s="18">
        <f t="shared" si="4"/>
        <v>6.1360563937018258</v>
      </c>
      <c r="S28" s="18">
        <f t="shared" si="5"/>
        <v>5.4542723499571775</v>
      </c>
      <c r="T28" s="1" t="s">
        <v>19</v>
      </c>
      <c r="U28" s="18">
        <f>AVERAGE(AA28,AB28)*W28+W28</f>
        <v>3344.4875346260387</v>
      </c>
      <c r="V28" s="18">
        <f t="shared" si="6"/>
        <v>3.2629146679278431</v>
      </c>
      <c r="W28" s="18">
        <f>Y28+(Y28*AB28)</f>
        <v>2269.4736842105262</v>
      </c>
      <c r="X28" s="18">
        <f t="shared" si="2"/>
        <v>2.2141206675224647</v>
      </c>
      <c r="Y28" s="1">
        <v>1540</v>
      </c>
      <c r="Z28" s="24">
        <v>1045</v>
      </c>
      <c r="AA28" s="22">
        <f>(W28-Y28)/Y28</f>
        <v>0.47368421052631576</v>
      </c>
      <c r="AB28" s="22">
        <f>(Y28-Z28)/Z28</f>
        <v>0.47368421052631576</v>
      </c>
    </row>
    <row r="29" spans="2:28" x14ac:dyDescent="0.3">
      <c r="D29" s="1"/>
      <c r="E29" s="1">
        <v>125</v>
      </c>
      <c r="F29" s="1">
        <v>98</v>
      </c>
      <c r="G29" s="1">
        <v>99</v>
      </c>
      <c r="H29" s="1">
        <v>139</v>
      </c>
      <c r="I29" s="1">
        <v>78</v>
      </c>
      <c r="J29" s="1"/>
      <c r="K29" s="3">
        <f>SUM(E25:I29)</f>
        <v>2547</v>
      </c>
      <c r="L29" s="4"/>
      <c r="M29" s="1" t="s">
        <v>20</v>
      </c>
      <c r="N29" s="18">
        <v>7685.6780168261757</v>
      </c>
      <c r="O29" s="18">
        <f t="shared" si="7"/>
        <v>15.676170459248857</v>
      </c>
      <c r="P29" s="18">
        <f t="shared" si="3"/>
        <v>13.934373741554541</v>
      </c>
      <c r="Q29" s="18">
        <v>4364.8075154381813</v>
      </c>
      <c r="R29" s="18">
        <f t="shared" si="4"/>
        <v>8.9027235442365189</v>
      </c>
      <c r="S29" s="18">
        <f t="shared" si="5"/>
        <v>7.9135320393213489</v>
      </c>
      <c r="T29" s="1" t="s">
        <v>20</v>
      </c>
      <c r="U29" s="18">
        <f>AVERAGE(AA29,AB29)*W29+W29</f>
        <v>5797.9676267285186</v>
      </c>
      <c r="V29" s="18">
        <f t="shared" si="6"/>
        <v>5.6565537821741643</v>
      </c>
      <c r="W29" s="18">
        <f>Y29+(Y29*AB29)</f>
        <v>3292.7495291902069</v>
      </c>
      <c r="X29" s="18">
        <f t="shared" si="2"/>
        <v>3.2124385650636169</v>
      </c>
      <c r="Y29" s="1">
        <v>1870</v>
      </c>
      <c r="Z29" s="24">
        <v>1062</v>
      </c>
      <c r="AA29" s="22">
        <f>(W29-Y29)/Y29</f>
        <v>0.76082862523540473</v>
      </c>
      <c r="AB29" s="22">
        <f>(Y29-Z29)/Z29</f>
        <v>0.76082862523540484</v>
      </c>
    </row>
    <row r="30" spans="2:28" x14ac:dyDescent="0.3">
      <c r="L30" s="4"/>
    </row>
    <row r="31" spans="2:28" x14ac:dyDescent="0.3">
      <c r="B31" t="s">
        <v>8</v>
      </c>
      <c r="C31">
        <v>2012</v>
      </c>
      <c r="D31" s="2"/>
      <c r="E31" s="2" t="s">
        <v>0</v>
      </c>
      <c r="F31" s="2" t="s">
        <v>1</v>
      </c>
      <c r="G31" s="2" t="s">
        <v>2</v>
      </c>
      <c r="H31" s="2" t="s">
        <v>1</v>
      </c>
      <c r="I31" s="2" t="s">
        <v>3</v>
      </c>
      <c r="J31" s="2"/>
      <c r="L31" s="4"/>
      <c r="M31" t="s">
        <v>89</v>
      </c>
    </row>
    <row r="32" spans="2:28" x14ac:dyDescent="0.3">
      <c r="B32" t="s">
        <v>5</v>
      </c>
      <c r="C32">
        <v>2012</v>
      </c>
      <c r="D32" s="2"/>
      <c r="E32" s="2" t="s">
        <v>0</v>
      </c>
      <c r="F32" s="2" t="s">
        <v>1</v>
      </c>
      <c r="G32" s="2" t="s">
        <v>2</v>
      </c>
      <c r="H32" s="2" t="s">
        <v>1</v>
      </c>
      <c r="I32" s="2" t="s">
        <v>3</v>
      </c>
      <c r="J32" s="2"/>
      <c r="L32" s="4"/>
      <c r="M32" s="8"/>
      <c r="N32" s="27"/>
      <c r="O32" s="39" t="s">
        <v>86</v>
      </c>
      <c r="P32" s="39" t="s">
        <v>87</v>
      </c>
    </row>
    <row r="33" spans="2:16" x14ac:dyDescent="0.3">
      <c r="D33" s="1"/>
      <c r="E33" s="1">
        <v>128</v>
      </c>
      <c r="F33" s="1">
        <v>175</v>
      </c>
      <c r="G33" s="1">
        <v>0</v>
      </c>
      <c r="H33" s="1">
        <v>123</v>
      </c>
      <c r="I33" s="1">
        <v>99</v>
      </c>
      <c r="J33" s="1"/>
      <c r="L33" s="4"/>
      <c r="M33" s="1" t="s">
        <v>11</v>
      </c>
      <c r="N33" s="18">
        <v>5249.4061524596655</v>
      </c>
      <c r="O33" s="18">
        <f>(N33*0.9*0.8)/385</f>
        <v>9.8170712461583367</v>
      </c>
      <c r="P33" s="18">
        <f>(N33*0.8*0.8)/385</f>
        <v>8.7262855521407428</v>
      </c>
    </row>
    <row r="34" spans="2:16" x14ac:dyDescent="0.3">
      <c r="D34" s="1"/>
      <c r="E34" s="1">
        <v>121</v>
      </c>
      <c r="F34" s="1">
        <v>135</v>
      </c>
      <c r="G34" s="1">
        <v>120</v>
      </c>
      <c r="H34" s="1">
        <v>112</v>
      </c>
      <c r="I34" s="1">
        <v>64</v>
      </c>
      <c r="J34" s="1"/>
      <c r="L34" s="4"/>
      <c r="M34" s="1" t="s">
        <v>13</v>
      </c>
      <c r="N34" s="18">
        <v>4211.9917128492043</v>
      </c>
      <c r="O34" s="18">
        <f t="shared" ref="O34:O44" si="8">(N34*0.9*0.8)/385</f>
        <v>7.8769715149387727</v>
      </c>
      <c r="P34" s="18">
        <f t="shared" ref="P34:P44" si="9">(N34*0.8*0.8)/385</f>
        <v>7.0017524577233532</v>
      </c>
    </row>
    <row r="35" spans="2:16" x14ac:dyDescent="0.3">
      <c r="D35" s="1"/>
      <c r="E35" s="1">
        <v>119</v>
      </c>
      <c r="F35" s="1">
        <v>140</v>
      </c>
      <c r="G35" s="1">
        <v>126</v>
      </c>
      <c r="H35" s="1">
        <v>97</v>
      </c>
      <c r="I35" s="1">
        <v>71</v>
      </c>
      <c r="J35" s="1"/>
      <c r="L35" s="4"/>
      <c r="M35" s="1" t="s">
        <v>14</v>
      </c>
      <c r="N35" s="18">
        <v>3707.9986260124833</v>
      </c>
      <c r="O35" s="18">
        <f t="shared" si="8"/>
        <v>6.9344389889064635</v>
      </c>
      <c r="P35" s="18">
        <f t="shared" si="9"/>
        <v>6.1639457679168563</v>
      </c>
    </row>
    <row r="36" spans="2:16" x14ac:dyDescent="0.3">
      <c r="D36" s="1"/>
      <c r="E36" s="1">
        <v>112</v>
      </c>
      <c r="F36" s="1">
        <v>129</v>
      </c>
      <c r="G36" s="1">
        <v>97</v>
      </c>
      <c r="H36" s="1">
        <v>134</v>
      </c>
      <c r="I36" s="1">
        <v>78</v>
      </c>
      <c r="J36" s="1"/>
      <c r="L36" s="4"/>
      <c r="M36" s="1" t="s">
        <v>15</v>
      </c>
      <c r="N36" s="18">
        <v>3080.7055755445817</v>
      </c>
      <c r="O36" s="18">
        <f t="shared" si="8"/>
        <v>5.7613195179015557</v>
      </c>
      <c r="P36" s="18">
        <f t="shared" si="9"/>
        <v>5.1211729048013837</v>
      </c>
    </row>
    <row r="37" spans="2:16" x14ac:dyDescent="0.3">
      <c r="D37" s="1"/>
      <c r="E37" s="1">
        <v>134</v>
      </c>
      <c r="F37" s="1">
        <v>107</v>
      </c>
      <c r="G37" s="1"/>
      <c r="H37" s="1"/>
      <c r="I37" s="1"/>
      <c r="J37" s="1"/>
      <c r="K37">
        <f>SUM(E33:I37)</f>
        <v>2421</v>
      </c>
      <c r="L37" s="4"/>
      <c r="M37" s="1" t="s">
        <v>7</v>
      </c>
      <c r="N37" s="18">
        <v>3418.1658235772179</v>
      </c>
      <c r="O37" s="18">
        <f t="shared" si="8"/>
        <v>6.3924140077288234</v>
      </c>
      <c r="P37" s="18">
        <f t="shared" si="9"/>
        <v>5.6821457846478438</v>
      </c>
    </row>
    <row r="38" spans="2:16" x14ac:dyDescent="0.3">
      <c r="L38" s="4"/>
      <c r="M38" s="1" t="s">
        <v>4</v>
      </c>
      <c r="N38" s="18">
        <v>3070.1261543827841</v>
      </c>
      <c r="O38" s="18">
        <f t="shared" si="8"/>
        <v>5.7415346263781935</v>
      </c>
      <c r="P38" s="18">
        <f t="shared" si="9"/>
        <v>5.1035863345583952</v>
      </c>
    </row>
    <row r="39" spans="2:16" x14ac:dyDescent="0.3">
      <c r="B39" t="s">
        <v>6</v>
      </c>
      <c r="C39">
        <v>2012</v>
      </c>
      <c r="D39" s="2"/>
      <c r="E39" s="2" t="s">
        <v>0</v>
      </c>
      <c r="F39" s="2" t="s">
        <v>1</v>
      </c>
      <c r="G39" s="2" t="s">
        <v>2</v>
      </c>
      <c r="H39" s="2" t="s">
        <v>1</v>
      </c>
      <c r="I39" s="2" t="s">
        <v>3</v>
      </c>
      <c r="J39" s="2"/>
      <c r="L39" s="4"/>
      <c r="M39" s="1" t="s">
        <v>5</v>
      </c>
      <c r="N39" s="18">
        <v>3390.828656441412</v>
      </c>
      <c r="O39" s="18">
        <f t="shared" si="8"/>
        <v>6.3412899549034201</v>
      </c>
      <c r="P39" s="18">
        <f t="shared" si="9"/>
        <v>5.6367021821363741</v>
      </c>
    </row>
    <row r="40" spans="2:16" x14ac:dyDescent="0.3">
      <c r="D40" s="1"/>
      <c r="E40" s="1"/>
      <c r="F40" s="1"/>
      <c r="G40" s="1">
        <v>137</v>
      </c>
      <c r="H40" s="1">
        <v>101</v>
      </c>
      <c r="I40" s="1">
        <v>95</v>
      </c>
      <c r="J40" s="1"/>
      <c r="L40" s="4"/>
      <c r="M40" s="1" t="s">
        <v>16</v>
      </c>
      <c r="N40" s="18">
        <v>3662.103739207409</v>
      </c>
      <c r="O40" s="18">
        <f t="shared" si="8"/>
        <v>6.8486095902060642</v>
      </c>
      <c r="P40" s="18">
        <f t="shared" si="9"/>
        <v>6.0876529690720567</v>
      </c>
    </row>
    <row r="41" spans="2:16" x14ac:dyDescent="0.3">
      <c r="D41" s="1"/>
      <c r="E41" s="1">
        <v>143</v>
      </c>
      <c r="F41" s="1">
        <v>141</v>
      </c>
      <c r="G41" s="1">
        <v>134</v>
      </c>
      <c r="H41" s="1">
        <v>86</v>
      </c>
      <c r="I41" s="1">
        <v>75</v>
      </c>
      <c r="J41" s="1"/>
      <c r="L41" s="4"/>
      <c r="M41" s="1" t="s">
        <v>17</v>
      </c>
      <c r="N41" s="18">
        <v>2987.234456137367</v>
      </c>
      <c r="O41" s="18">
        <f t="shared" si="8"/>
        <v>5.5865163855036482</v>
      </c>
      <c r="P41" s="18">
        <f t="shared" si="9"/>
        <v>4.9657923426699089</v>
      </c>
    </row>
    <row r="42" spans="2:16" x14ac:dyDescent="0.3">
      <c r="D42" s="1"/>
      <c r="E42" s="1">
        <v>159</v>
      </c>
      <c r="F42" s="1">
        <v>105</v>
      </c>
      <c r="G42" s="1">
        <v>143</v>
      </c>
      <c r="H42" s="1">
        <v>99</v>
      </c>
      <c r="I42" s="1">
        <v>93</v>
      </c>
      <c r="J42" s="1"/>
      <c r="L42" s="4"/>
      <c r="M42" s="1" t="s">
        <v>18</v>
      </c>
      <c r="N42" s="18">
        <v>7352.6629062568772</v>
      </c>
      <c r="O42" s="18">
        <f t="shared" si="8"/>
        <v>13.75043452598689</v>
      </c>
      <c r="P42" s="18">
        <f t="shared" si="9"/>
        <v>12.222608467543902</v>
      </c>
    </row>
    <row r="43" spans="2:16" x14ac:dyDescent="0.3">
      <c r="D43" s="1"/>
      <c r="E43" s="1">
        <v>122</v>
      </c>
      <c r="F43" s="1">
        <v>100</v>
      </c>
      <c r="G43" s="1">
        <v>116</v>
      </c>
      <c r="H43" s="1">
        <v>83</v>
      </c>
      <c r="I43" s="1">
        <v>76</v>
      </c>
      <c r="J43" s="1"/>
      <c r="L43" s="4"/>
      <c r="M43" s="1" t="s">
        <v>19</v>
      </c>
      <c r="N43" s="18">
        <v>4433.3904528763769</v>
      </c>
      <c r="O43" s="18">
        <f t="shared" si="8"/>
        <v>8.2910159118727051</v>
      </c>
      <c r="P43" s="18">
        <f t="shared" si="9"/>
        <v>7.3697919216646275</v>
      </c>
    </row>
    <row r="44" spans="2:16" x14ac:dyDescent="0.3">
      <c r="D44" s="1"/>
      <c r="E44" s="1">
        <v>125</v>
      </c>
      <c r="F44" s="1">
        <v>98</v>
      </c>
      <c r="G44" s="1">
        <v>99</v>
      </c>
      <c r="H44" s="1">
        <v>139</v>
      </c>
      <c r="I44" s="1">
        <v>78</v>
      </c>
      <c r="J44" s="1"/>
      <c r="K44" s="3">
        <f>SUM(E40:I44)</f>
        <v>2547</v>
      </c>
      <c r="L44" s="4"/>
      <c r="M44" s="1" t="s">
        <v>20</v>
      </c>
      <c r="N44" s="18">
        <v>7685.6780168261757</v>
      </c>
      <c r="O44" s="18">
        <f t="shared" si="8"/>
        <v>14.373216031467134</v>
      </c>
      <c r="P44" s="18">
        <f t="shared" si="9"/>
        <v>12.776192027970787</v>
      </c>
    </row>
  </sheetData>
  <mergeCells count="4">
    <mergeCell ref="A1:K1"/>
    <mergeCell ref="B2:J2"/>
    <mergeCell ref="O16:P16"/>
    <mergeCell ref="R16:S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K1" workbookViewId="0">
      <selection activeCell="T1" sqref="T1:U14"/>
    </sheetView>
  </sheetViews>
  <sheetFormatPr defaultRowHeight="14.4" x14ac:dyDescent="0.3"/>
  <cols>
    <col min="1" max="1" width="1.5546875" style="5" customWidth="1"/>
    <col min="2" max="2" width="6" customWidth="1"/>
    <col min="3" max="3" width="5" customWidth="1"/>
    <col min="12" max="12" width="1" customWidth="1"/>
    <col min="13" max="13" width="10.88671875" bestFit="1" customWidth="1"/>
    <col min="14" max="14" width="15.44140625" style="25" customWidth="1"/>
    <col min="15" max="15" width="13.88671875" bestFit="1" customWidth="1"/>
    <col min="16" max="16" width="15.88671875" bestFit="1" customWidth="1"/>
    <col min="17" max="17" width="15.88671875" customWidth="1"/>
    <col min="18" max="18" width="14.44140625" bestFit="1" customWidth="1"/>
    <col min="19" max="20" width="14.44140625" customWidth="1"/>
    <col min="21" max="21" width="16" bestFit="1" customWidth="1"/>
    <col min="23" max="23" width="21.109375" bestFit="1" customWidth="1"/>
  </cols>
  <sheetData>
    <row r="1" spans="1:24" ht="18" x14ac:dyDescent="0.3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"/>
      <c r="M1" s="6" t="s">
        <v>12</v>
      </c>
      <c r="N1" s="25" t="s">
        <v>37</v>
      </c>
      <c r="O1" s="6" t="s">
        <v>36</v>
      </c>
      <c r="P1" s="25" t="s">
        <v>35</v>
      </c>
      <c r="Q1" s="10" t="s">
        <v>31</v>
      </c>
      <c r="R1" s="6" t="s">
        <v>30</v>
      </c>
      <c r="S1" s="20" t="s">
        <v>33</v>
      </c>
      <c r="T1" s="20" t="s">
        <v>32</v>
      </c>
      <c r="U1" s="23" t="s">
        <v>34</v>
      </c>
      <c r="W1" s="12" t="s">
        <v>26</v>
      </c>
    </row>
    <row r="2" spans="1:24" x14ac:dyDescent="0.3">
      <c r="B2" s="14" t="s">
        <v>10</v>
      </c>
      <c r="C2" s="15"/>
      <c r="D2" s="15"/>
      <c r="E2" s="15"/>
      <c r="F2" s="15"/>
      <c r="G2" s="15"/>
      <c r="H2" s="15"/>
      <c r="I2" s="15"/>
      <c r="J2" s="15"/>
      <c r="K2" s="5"/>
      <c r="L2" s="4"/>
      <c r="M2" s="8">
        <v>2012</v>
      </c>
      <c r="N2" s="27"/>
      <c r="O2" s="9"/>
      <c r="P2" s="26"/>
      <c r="Q2" s="9"/>
      <c r="R2" s="9"/>
      <c r="S2" s="21"/>
      <c r="T2" s="21"/>
      <c r="U2" s="21"/>
    </row>
    <row r="3" spans="1:24" x14ac:dyDescent="0.3">
      <c r="B3" t="s">
        <v>7</v>
      </c>
      <c r="C3">
        <v>2012</v>
      </c>
      <c r="D3" s="2"/>
      <c r="E3" s="2" t="s">
        <v>0</v>
      </c>
      <c r="F3" s="2" t="s">
        <v>1</v>
      </c>
      <c r="G3" s="2" t="s">
        <v>2</v>
      </c>
      <c r="H3" s="2" t="s">
        <v>1</v>
      </c>
      <c r="I3" s="2" t="s">
        <v>3</v>
      </c>
      <c r="J3" s="2"/>
      <c r="L3" s="4"/>
      <c r="M3" s="1" t="s">
        <v>11</v>
      </c>
      <c r="N3" s="18">
        <f>AVERAGE(T3,U3)*O3+O3</f>
        <v>5249.4061524596655</v>
      </c>
      <c r="O3" s="18">
        <v>3376.2558139534885</v>
      </c>
      <c r="P3" s="18">
        <f>AVERAGE(T3,U3)*Q3+Q3</f>
        <v>3960.0783255397473</v>
      </c>
      <c r="Q3" s="1">
        <v>2547</v>
      </c>
      <c r="R3" s="1">
        <v>1539</v>
      </c>
      <c r="S3" s="24">
        <v>1058</v>
      </c>
      <c r="T3" s="22">
        <f>(Q3-R3)/R3</f>
        <v>0.65497076023391809</v>
      </c>
      <c r="U3" s="22">
        <f>(R3-S3)/S3</f>
        <v>0.45463137996219283</v>
      </c>
      <c r="V3">
        <v>57</v>
      </c>
      <c r="W3" t="s">
        <v>21</v>
      </c>
      <c r="X3" s="11">
        <f>SUM(O7:O11)/5</f>
        <v>2372.6</v>
      </c>
    </row>
    <row r="4" spans="1:24" x14ac:dyDescent="0.3">
      <c r="D4" s="1"/>
      <c r="E4" s="1"/>
      <c r="F4" s="1">
        <v>149</v>
      </c>
      <c r="G4" s="1">
        <v>145</v>
      </c>
      <c r="H4" s="1">
        <v>124</v>
      </c>
      <c r="I4" s="1">
        <v>92</v>
      </c>
      <c r="J4" s="1"/>
      <c r="L4" s="4"/>
      <c r="M4" s="1" t="s">
        <v>13</v>
      </c>
      <c r="N4" s="18">
        <f>AVERAGE(T4,U4)*O4+O4</f>
        <v>4211.9917128492043</v>
      </c>
      <c r="O4" s="18">
        <v>2773.1162790697676</v>
      </c>
      <c r="P4" s="18">
        <f>AVERAGE(T4,U4)*Q4+Q4</f>
        <v>3177.4674325002766</v>
      </c>
      <c r="Q4" s="1">
        <v>2092</v>
      </c>
      <c r="R4" s="1">
        <v>1290</v>
      </c>
      <c r="S4" s="24">
        <v>911</v>
      </c>
      <c r="T4" s="22">
        <f>(Q4-R4)/R4</f>
        <v>0.6217054263565891</v>
      </c>
      <c r="U4" s="22">
        <f>(R4-S4)/S4</f>
        <v>0.41602634467618005</v>
      </c>
      <c r="V4">
        <v>43</v>
      </c>
      <c r="W4" t="s">
        <v>22</v>
      </c>
      <c r="X4" s="11">
        <f>SUM(X3)/22</f>
        <v>107.84545454545454</v>
      </c>
    </row>
    <row r="5" spans="1:24" x14ac:dyDescent="0.3">
      <c r="D5" s="1"/>
      <c r="E5" s="1">
        <v>112</v>
      </c>
      <c r="F5" s="1">
        <v>125</v>
      </c>
      <c r="G5" s="1">
        <v>138</v>
      </c>
      <c r="H5" s="1">
        <v>96</v>
      </c>
      <c r="I5" s="1">
        <v>82</v>
      </c>
      <c r="J5" s="1"/>
      <c r="L5" s="4"/>
      <c r="M5" s="1" t="s">
        <v>14</v>
      </c>
      <c r="N5" s="18">
        <f>AVERAGE(T5,U5)*O5+O5</f>
        <v>3707.9986260124833</v>
      </c>
      <c r="O5" s="18">
        <v>2542.4651162790697</v>
      </c>
      <c r="P5" s="18">
        <f>AVERAGE(T5,U5)*Q5+Q5</f>
        <v>2797.2621213778384</v>
      </c>
      <c r="Q5" s="1">
        <v>1918</v>
      </c>
      <c r="R5" s="1">
        <v>1338</v>
      </c>
      <c r="S5" s="24">
        <v>902</v>
      </c>
      <c r="T5" s="22">
        <f>(Q5-R5)/R5</f>
        <v>0.43348281016442453</v>
      </c>
      <c r="U5" s="22">
        <f>(R5-S5)/S5</f>
        <v>0.48337028824833705</v>
      </c>
      <c r="W5" t="s">
        <v>24</v>
      </c>
      <c r="X5" s="11">
        <f>SUM(X4)*7</f>
        <v>754.91818181818178</v>
      </c>
    </row>
    <row r="6" spans="1:24" x14ac:dyDescent="0.3">
      <c r="D6" s="1"/>
      <c r="E6" s="1">
        <v>124</v>
      </c>
      <c r="F6" s="1">
        <v>100</v>
      </c>
      <c r="G6" s="1">
        <v>105</v>
      </c>
      <c r="H6" s="1">
        <v>87</v>
      </c>
      <c r="I6" s="1">
        <v>82</v>
      </c>
      <c r="J6" s="1"/>
      <c r="L6" s="4"/>
      <c r="M6" s="1" t="s">
        <v>15</v>
      </c>
      <c r="N6" s="18">
        <f>AVERAGE(T6,U6)*O6+O6</f>
        <v>3080.7055755445817</v>
      </c>
      <c r="O6" s="18">
        <v>2152.7441860465115</v>
      </c>
      <c r="P6" s="18">
        <f>AVERAGE(T6,U6)*Q6+Q6</f>
        <v>2324.0410482178427</v>
      </c>
      <c r="Q6" s="1">
        <v>1624</v>
      </c>
      <c r="R6" s="1">
        <v>1132</v>
      </c>
      <c r="S6" s="24">
        <v>793</v>
      </c>
      <c r="T6" s="22">
        <f>(Q6-R6)/R6</f>
        <v>0.43462897526501765</v>
      </c>
      <c r="U6" s="22">
        <f>(R6-S6)/S6</f>
        <v>0.42749054224464061</v>
      </c>
      <c r="W6" t="s">
        <v>23</v>
      </c>
      <c r="X6" s="11">
        <f>SUM(X4)*(90/100)</f>
        <v>97.060909090909092</v>
      </c>
    </row>
    <row r="7" spans="1:24" x14ac:dyDescent="0.3">
      <c r="D7" s="1"/>
      <c r="E7" s="1">
        <v>100</v>
      </c>
      <c r="F7" s="1">
        <v>105</v>
      </c>
      <c r="G7" s="1">
        <v>107</v>
      </c>
      <c r="H7" s="1">
        <v>95</v>
      </c>
      <c r="I7" s="1">
        <v>100</v>
      </c>
      <c r="J7" s="1"/>
      <c r="L7" s="4"/>
      <c r="M7" s="1" t="s">
        <v>7</v>
      </c>
      <c r="N7" s="18">
        <f>AVERAGE(T7,U7)*O7+O7</f>
        <v>3418.1658235772179</v>
      </c>
      <c r="O7" s="1">
        <v>2379</v>
      </c>
      <c r="P7" s="18">
        <f>AVERAGE(T7,U7)*Q7+Q7</f>
        <v>2497.172005623037</v>
      </c>
      <c r="Q7" s="1">
        <v>1738</v>
      </c>
      <c r="R7" s="1">
        <v>1060</v>
      </c>
      <c r="S7" s="24">
        <v>859</v>
      </c>
      <c r="T7" s="22">
        <f>(Q7-R7)/R7</f>
        <v>0.63962264150943393</v>
      </c>
      <c r="U7" s="22">
        <f>(R7-S7)/S7</f>
        <v>0.2339930151338766</v>
      </c>
    </row>
    <row r="8" spans="1:24" ht="15.75" customHeight="1" x14ac:dyDescent="0.35">
      <c r="D8" s="1"/>
      <c r="E8" s="1">
        <v>0</v>
      </c>
      <c r="F8" s="1">
        <v>96</v>
      </c>
      <c r="G8" s="1">
        <v>109</v>
      </c>
      <c r="H8" s="1">
        <v>106</v>
      </c>
      <c r="I8" s="1"/>
      <c r="J8" s="1"/>
      <c r="K8" s="3">
        <f>SUM(E4:I8)</f>
        <v>2379</v>
      </c>
      <c r="L8" s="4"/>
      <c r="M8" s="1" t="s">
        <v>4</v>
      </c>
      <c r="N8" s="18">
        <f>AVERAGE(T8,U8)*O8+O8</f>
        <v>3070.1261543827841</v>
      </c>
      <c r="O8" s="1">
        <v>2242</v>
      </c>
      <c r="P8" s="18">
        <f>AVERAGE(T8,U8)*Q8+Q8</f>
        <v>2467.603626314798</v>
      </c>
      <c r="Q8" s="1">
        <v>1802</v>
      </c>
      <c r="R8" s="1">
        <v>1029</v>
      </c>
      <c r="S8" s="24">
        <v>1042</v>
      </c>
      <c r="T8" s="22">
        <f>(Q8-R8)/R8</f>
        <v>0.75121477162293493</v>
      </c>
      <c r="U8" s="22">
        <f>(R8-S8)/S8</f>
        <v>-1.2476007677543186E-2</v>
      </c>
      <c r="W8" s="13" t="s">
        <v>29</v>
      </c>
    </row>
    <row r="9" spans="1:24" ht="15" x14ac:dyDescent="0.35">
      <c r="L9" s="4"/>
      <c r="M9" s="1" t="s">
        <v>5</v>
      </c>
      <c r="N9" s="18">
        <f>AVERAGE(T9,U9)*O9+O9</f>
        <v>3390.828656441412</v>
      </c>
      <c r="O9" s="1">
        <v>2421</v>
      </c>
      <c r="P9" s="18">
        <f>AVERAGE(T9,U9)*Q9+Q9</f>
        <v>2533.6675090881927</v>
      </c>
      <c r="Q9" s="1">
        <v>1809</v>
      </c>
      <c r="R9" s="1">
        <v>1161</v>
      </c>
      <c r="S9" s="24">
        <v>934</v>
      </c>
      <c r="T9" s="22">
        <f>(Q9-R9)/R9</f>
        <v>0.55813953488372092</v>
      </c>
      <c r="U9" s="22">
        <f>(R9-S9)/S9</f>
        <v>0.2430406852248394</v>
      </c>
      <c r="W9" s="13" t="s">
        <v>27</v>
      </c>
    </row>
    <row r="10" spans="1:24" ht="15" x14ac:dyDescent="0.35">
      <c r="B10" t="s">
        <v>4</v>
      </c>
      <c r="C10">
        <v>2012</v>
      </c>
      <c r="D10" s="2"/>
      <c r="E10" s="2" t="s">
        <v>0</v>
      </c>
      <c r="F10" s="2" t="s">
        <v>1</v>
      </c>
      <c r="G10" s="2" t="s">
        <v>2</v>
      </c>
      <c r="H10" s="2" t="s">
        <v>1</v>
      </c>
      <c r="I10" s="2" t="s">
        <v>3</v>
      </c>
      <c r="J10" s="2"/>
      <c r="L10" s="4"/>
      <c r="M10" s="1" t="s">
        <v>16</v>
      </c>
      <c r="N10" s="18">
        <f>AVERAGE(T10,U10)*O10+O10</f>
        <v>3662.103739207409</v>
      </c>
      <c r="O10" s="1">
        <v>2547</v>
      </c>
      <c r="P10" s="18">
        <f>AVERAGE(T10,U10)*Q10+Q10</f>
        <v>2780.7258074704077</v>
      </c>
      <c r="Q10" s="1">
        <v>1934</v>
      </c>
      <c r="R10" s="1">
        <v>1177</v>
      </c>
      <c r="S10" s="24">
        <v>955</v>
      </c>
      <c r="T10" s="22">
        <f>(Q10-R10)/R10</f>
        <v>0.643160577740017</v>
      </c>
      <c r="U10" s="22">
        <f>(R10-S10)/S10</f>
        <v>0.23246073298429321</v>
      </c>
      <c r="W10" s="13" t="s">
        <v>28</v>
      </c>
    </row>
    <row r="11" spans="1:24" x14ac:dyDescent="0.3">
      <c r="D11" s="1"/>
      <c r="E11" s="1"/>
      <c r="F11" s="1"/>
      <c r="G11" s="1"/>
      <c r="H11" s="1"/>
      <c r="I11" s="1">
        <v>96</v>
      </c>
      <c r="J11" s="1"/>
      <c r="L11" s="4"/>
      <c r="M11" s="1" t="s">
        <v>17</v>
      </c>
      <c r="N11" s="18">
        <f>AVERAGE(T11,U11)*O11+O11</f>
        <v>2987.234456137367</v>
      </c>
      <c r="O11" s="1">
        <v>2274</v>
      </c>
      <c r="P11" s="18">
        <f>AVERAGE(T11,U11)*Q11+Q11</f>
        <v>2365.8791800806498</v>
      </c>
      <c r="Q11" s="1">
        <v>1801</v>
      </c>
      <c r="R11" s="19">
        <v>1609</v>
      </c>
      <c r="S11" s="24">
        <v>1067</v>
      </c>
      <c r="T11" s="22">
        <f>(Q11-R11)/R11</f>
        <v>0.11932877563704164</v>
      </c>
      <c r="U11" s="22">
        <f>(R11-S11)/S11</f>
        <v>0.50796626054358018</v>
      </c>
    </row>
    <row r="12" spans="1:24" ht="15" customHeight="1" x14ac:dyDescent="0.35">
      <c r="D12" s="1"/>
      <c r="E12" s="1">
        <v>175</v>
      </c>
      <c r="F12" s="1">
        <v>112</v>
      </c>
      <c r="G12" s="1">
        <v>145</v>
      </c>
      <c r="H12" s="1">
        <v>140</v>
      </c>
      <c r="I12" s="1">
        <v>75</v>
      </c>
      <c r="J12" s="1"/>
      <c r="L12" s="4"/>
      <c r="M12" s="1" t="s">
        <v>18</v>
      </c>
      <c r="N12" s="18">
        <f>AVERAGE(T12,U12)*O12+O12</f>
        <v>7352.6629062568772</v>
      </c>
      <c r="O12" s="18">
        <f>(Q12*57)/43</f>
        <v>4107.4667997402657</v>
      </c>
      <c r="P12" s="18">
        <f>AVERAGE(T12,U12)*Q12+Q12</f>
        <v>5546.7457012113282</v>
      </c>
      <c r="Q12" s="18">
        <f>R12+(R12*U12)</f>
        <v>3098.6153050672183</v>
      </c>
      <c r="R12" s="1">
        <v>1731</v>
      </c>
      <c r="S12" s="24">
        <v>967</v>
      </c>
      <c r="T12" s="22">
        <f>(Q12-R12)/R12</f>
        <v>0.79007238883143749</v>
      </c>
      <c r="U12" s="22">
        <f>(R12-S12)/S12</f>
        <v>0.79007238883143749</v>
      </c>
      <c r="W12" s="13"/>
    </row>
    <row r="13" spans="1:24" ht="15" customHeight="1" x14ac:dyDescent="0.3">
      <c r="D13" s="1"/>
      <c r="E13" s="1">
        <v>151</v>
      </c>
      <c r="F13" s="1">
        <v>99</v>
      </c>
      <c r="G13" s="1">
        <v>105</v>
      </c>
      <c r="H13" s="1">
        <v>93</v>
      </c>
      <c r="I13" s="1">
        <v>97</v>
      </c>
      <c r="J13" s="1"/>
      <c r="L13" s="4"/>
      <c r="M13" s="1" t="s">
        <v>19</v>
      </c>
      <c r="N13" s="18">
        <f>AVERAGE(T13,U13)*O13+O13</f>
        <v>4433.3904528763769</v>
      </c>
      <c r="O13" s="18">
        <f>(Q13*57)/43</f>
        <v>3008.3720930232557</v>
      </c>
      <c r="P13" s="18">
        <f>AVERAGE(T13,U13)*Q13+Q13</f>
        <v>3344.4875346260387</v>
      </c>
      <c r="Q13" s="18">
        <f>R13+(R13*U13)</f>
        <v>2269.4736842105262</v>
      </c>
      <c r="R13" s="1">
        <v>1540</v>
      </c>
      <c r="S13" s="24">
        <v>1045</v>
      </c>
      <c r="T13" s="22">
        <f>(Q13-R13)/R13</f>
        <v>0.47368421052631576</v>
      </c>
      <c r="U13" s="22">
        <f>(R13-S13)/S13</f>
        <v>0.47368421052631576</v>
      </c>
    </row>
    <row r="14" spans="1:24" ht="15" customHeight="1" x14ac:dyDescent="0.3">
      <c r="D14" s="1"/>
      <c r="E14" s="1">
        <v>129</v>
      </c>
      <c r="F14" s="1">
        <v>116</v>
      </c>
      <c r="G14" s="1">
        <v>92</v>
      </c>
      <c r="H14" s="1">
        <v>102</v>
      </c>
      <c r="I14" s="1">
        <v>74</v>
      </c>
      <c r="J14" s="1"/>
      <c r="L14" s="4"/>
      <c r="M14" s="1" t="s">
        <v>20</v>
      </c>
      <c r="N14" s="18">
        <f>AVERAGE(T14,U14)*O14+O14</f>
        <v>7685.6780168261757</v>
      </c>
      <c r="O14" s="18">
        <f>(Q14*57)/43</f>
        <v>4364.8075154381813</v>
      </c>
      <c r="P14" s="18">
        <f>AVERAGE(T14,U14)*Q14+Q14</f>
        <v>5797.9676267285186</v>
      </c>
      <c r="Q14" s="18">
        <f>R14+(R14*U14)</f>
        <v>3292.7495291902069</v>
      </c>
      <c r="R14" s="1">
        <v>1870</v>
      </c>
      <c r="S14" s="24">
        <v>1062</v>
      </c>
      <c r="T14" s="22">
        <f>(Q14-R14)/R14</f>
        <v>0.76082862523540473</v>
      </c>
      <c r="U14" s="22">
        <f>(R14-S14)/S14</f>
        <v>0.76082862523540484</v>
      </c>
    </row>
    <row r="15" spans="1:24" x14ac:dyDescent="0.3">
      <c r="D15" s="1"/>
      <c r="E15" s="1">
        <v>91</v>
      </c>
      <c r="F15" s="1">
        <v>92</v>
      </c>
      <c r="G15" s="1">
        <v>98</v>
      </c>
      <c r="H15" s="1">
        <v>94</v>
      </c>
      <c r="I15" s="1">
        <v>66</v>
      </c>
      <c r="J15" s="1"/>
      <c r="K15" s="3">
        <f>SUM(E11:I15)</f>
        <v>2242</v>
      </c>
      <c r="L15" s="4"/>
      <c r="M15" s="7"/>
      <c r="N15" s="28"/>
      <c r="O15" s="7"/>
      <c r="P15" s="7"/>
      <c r="Q15" s="7"/>
      <c r="R15" s="7"/>
      <c r="S15" s="7"/>
      <c r="T15" s="7"/>
      <c r="U15" s="7"/>
    </row>
    <row r="16" spans="1:24" x14ac:dyDescent="0.3">
      <c r="L16" s="4"/>
      <c r="M16" s="8">
        <v>2013</v>
      </c>
      <c r="N16" s="27"/>
      <c r="O16" s="9"/>
      <c r="P16" s="9"/>
      <c r="Q16" s="9"/>
      <c r="R16" s="9"/>
      <c r="S16" s="21"/>
      <c r="T16" s="21"/>
      <c r="U16" s="21"/>
    </row>
    <row r="17" spans="2:21" x14ac:dyDescent="0.3">
      <c r="B17" t="s">
        <v>5</v>
      </c>
      <c r="C17">
        <v>2012</v>
      </c>
      <c r="D17" s="2"/>
      <c r="E17" s="2" t="s">
        <v>0</v>
      </c>
      <c r="F17" s="2" t="s">
        <v>1</v>
      </c>
      <c r="G17" s="2" t="s">
        <v>2</v>
      </c>
      <c r="H17" s="2" t="s">
        <v>1</v>
      </c>
      <c r="I17" s="2" t="s">
        <v>3</v>
      </c>
      <c r="J17" s="2"/>
      <c r="L17" s="4"/>
      <c r="M17" s="1" t="s">
        <v>11</v>
      </c>
      <c r="N17" s="17"/>
      <c r="O17" s="1"/>
      <c r="P17" s="1"/>
      <c r="Q17" s="1"/>
      <c r="R17" s="1"/>
      <c r="S17" s="7"/>
      <c r="T17" s="7"/>
      <c r="U17" s="7"/>
    </row>
    <row r="18" spans="2:21" x14ac:dyDescent="0.3">
      <c r="D18" s="1"/>
      <c r="E18" s="1">
        <v>128</v>
      </c>
      <c r="F18" s="1">
        <v>175</v>
      </c>
      <c r="G18" s="1">
        <v>0</v>
      </c>
      <c r="H18" s="1">
        <v>123</v>
      </c>
      <c r="I18" s="1">
        <v>99</v>
      </c>
      <c r="J18" s="1"/>
      <c r="L18" s="4"/>
      <c r="M18" s="1" t="s">
        <v>13</v>
      </c>
      <c r="N18" s="17"/>
      <c r="O18" s="1"/>
      <c r="P18" s="1"/>
      <c r="Q18" s="1"/>
      <c r="R18" s="1"/>
      <c r="S18" s="7"/>
      <c r="T18" s="7"/>
      <c r="U18" s="7"/>
    </row>
    <row r="19" spans="2:21" x14ac:dyDescent="0.3">
      <c r="D19" s="1"/>
      <c r="E19" s="1">
        <v>121</v>
      </c>
      <c r="F19" s="1">
        <v>135</v>
      </c>
      <c r="G19" s="1">
        <v>120</v>
      </c>
      <c r="H19" s="1">
        <v>112</v>
      </c>
      <c r="I19" s="1">
        <v>64</v>
      </c>
      <c r="J19" s="1"/>
      <c r="L19" s="4"/>
      <c r="M19" s="1" t="s">
        <v>14</v>
      </c>
      <c r="N19" s="17"/>
      <c r="O19" s="1"/>
      <c r="P19" s="1"/>
      <c r="Q19" s="1"/>
      <c r="R19" s="1"/>
      <c r="S19" s="7"/>
      <c r="T19" s="7"/>
      <c r="U19" s="7"/>
    </row>
    <row r="20" spans="2:21" x14ac:dyDescent="0.3">
      <c r="D20" s="1"/>
      <c r="E20" s="1">
        <v>119</v>
      </c>
      <c r="F20" s="1">
        <v>140</v>
      </c>
      <c r="G20" s="1">
        <v>126</v>
      </c>
      <c r="H20" s="1">
        <v>97</v>
      </c>
      <c r="I20" s="1">
        <v>71</v>
      </c>
      <c r="J20" s="1"/>
      <c r="L20" s="4"/>
      <c r="M20" s="1" t="s">
        <v>15</v>
      </c>
      <c r="N20" s="17"/>
      <c r="O20" s="1"/>
      <c r="P20" s="1"/>
      <c r="Q20" s="1"/>
      <c r="R20" s="1"/>
      <c r="S20" s="7" t="s">
        <v>38</v>
      </c>
      <c r="T20" s="7"/>
      <c r="U20" s="7"/>
    </row>
    <row r="21" spans="2:21" x14ac:dyDescent="0.3">
      <c r="D21" s="1"/>
      <c r="E21" s="1">
        <v>112</v>
      </c>
      <c r="F21" s="1">
        <v>129</v>
      </c>
      <c r="G21" s="1">
        <v>97</v>
      </c>
      <c r="H21" s="1">
        <v>134</v>
      </c>
      <c r="I21" s="1">
        <v>78</v>
      </c>
      <c r="J21" s="1"/>
      <c r="L21" s="4"/>
      <c r="M21" s="1" t="s">
        <v>7</v>
      </c>
      <c r="N21" s="17"/>
      <c r="O21" s="1"/>
      <c r="P21" s="1"/>
      <c r="Q21" s="1"/>
      <c r="R21" s="1"/>
      <c r="S21" s="7" t="s">
        <v>39</v>
      </c>
      <c r="T21" s="7"/>
      <c r="U21" s="7"/>
    </row>
    <row r="22" spans="2:21" x14ac:dyDescent="0.3">
      <c r="D22" s="1"/>
      <c r="E22" s="1">
        <v>134</v>
      </c>
      <c r="F22" s="1">
        <v>107</v>
      </c>
      <c r="G22" s="1"/>
      <c r="H22" s="1"/>
      <c r="I22" s="1"/>
      <c r="J22" s="1"/>
      <c r="K22">
        <f>SUM(E18:I22)</f>
        <v>2421</v>
      </c>
      <c r="L22" s="4"/>
      <c r="M22" s="1" t="s">
        <v>4</v>
      </c>
      <c r="N22" s="17"/>
      <c r="O22" s="1"/>
      <c r="P22" s="1"/>
      <c r="Q22" s="1"/>
      <c r="R22" s="1"/>
      <c r="S22" s="7"/>
      <c r="T22" s="7"/>
      <c r="U22" s="7"/>
    </row>
    <row r="23" spans="2:21" x14ac:dyDescent="0.3">
      <c r="L23" s="4"/>
      <c r="M23" s="1" t="s">
        <v>5</v>
      </c>
      <c r="N23" s="17"/>
      <c r="O23" s="1"/>
      <c r="P23" s="1"/>
      <c r="Q23" s="1"/>
      <c r="R23" s="1"/>
      <c r="S23" s="7" t="s">
        <v>40</v>
      </c>
      <c r="T23" s="7"/>
      <c r="U23" s="7"/>
    </row>
    <row r="24" spans="2:21" x14ac:dyDescent="0.3">
      <c r="B24" t="s">
        <v>6</v>
      </c>
      <c r="C24">
        <v>2012</v>
      </c>
      <c r="D24" s="2"/>
      <c r="E24" s="2" t="s">
        <v>0</v>
      </c>
      <c r="F24" s="2" t="s">
        <v>1</v>
      </c>
      <c r="G24" s="2" t="s">
        <v>2</v>
      </c>
      <c r="H24" s="2" t="s">
        <v>1</v>
      </c>
      <c r="I24" s="2" t="s">
        <v>3</v>
      </c>
      <c r="J24" s="2"/>
      <c r="L24" s="4"/>
      <c r="M24" s="1" t="s">
        <v>16</v>
      </c>
      <c r="N24" s="17"/>
      <c r="O24" s="1"/>
      <c r="P24" s="1"/>
      <c r="Q24" s="1"/>
      <c r="R24" s="1"/>
      <c r="S24" s="29" t="s">
        <v>41</v>
      </c>
      <c r="T24" s="7"/>
      <c r="U24" s="7"/>
    </row>
    <row r="25" spans="2:21" x14ac:dyDescent="0.3">
      <c r="D25" s="1"/>
      <c r="E25" s="1"/>
      <c r="F25" s="1"/>
      <c r="G25" s="1">
        <v>137</v>
      </c>
      <c r="H25" s="1">
        <v>101</v>
      </c>
      <c r="I25" s="1">
        <v>95</v>
      </c>
      <c r="J25" s="1"/>
      <c r="L25" s="4"/>
      <c r="M25" s="1" t="s">
        <v>17</v>
      </c>
      <c r="N25" s="17"/>
      <c r="O25" s="1"/>
      <c r="P25" s="1"/>
      <c r="Q25" s="1"/>
      <c r="R25" s="1"/>
      <c r="S25" s="7"/>
      <c r="T25" s="7"/>
      <c r="U25" s="7"/>
    </row>
    <row r="26" spans="2:21" x14ac:dyDescent="0.3">
      <c r="D26" s="1"/>
      <c r="E26" s="1">
        <v>143</v>
      </c>
      <c r="F26" s="1">
        <v>141</v>
      </c>
      <c r="G26" s="1">
        <v>134</v>
      </c>
      <c r="H26" s="1">
        <v>86</v>
      </c>
      <c r="I26" s="1">
        <v>75</v>
      </c>
      <c r="J26" s="1"/>
      <c r="L26" s="4"/>
      <c r="M26" s="1" t="s">
        <v>18</v>
      </c>
      <c r="N26" s="17"/>
      <c r="O26" s="1"/>
      <c r="P26" s="1"/>
      <c r="Q26" s="1"/>
      <c r="R26" s="1"/>
      <c r="S26" s="7"/>
      <c r="T26" s="7"/>
      <c r="U26" s="7"/>
    </row>
    <row r="27" spans="2:21" x14ac:dyDescent="0.3">
      <c r="D27" s="1"/>
      <c r="E27" s="1">
        <v>159</v>
      </c>
      <c r="F27" s="1">
        <v>105</v>
      </c>
      <c r="G27" s="1">
        <v>143</v>
      </c>
      <c r="H27" s="1">
        <v>99</v>
      </c>
      <c r="I27" s="1">
        <v>93</v>
      </c>
      <c r="J27" s="1"/>
      <c r="L27" s="4"/>
      <c r="M27" s="1" t="s">
        <v>19</v>
      </c>
      <c r="N27" s="17"/>
      <c r="O27" s="1"/>
      <c r="P27" s="1"/>
      <c r="Q27" s="1"/>
      <c r="R27" s="1"/>
      <c r="S27" s="7"/>
      <c r="T27" s="7"/>
      <c r="U27" s="7"/>
    </row>
    <row r="28" spans="2:21" x14ac:dyDescent="0.3">
      <c r="D28" s="1"/>
      <c r="E28" s="1">
        <v>122</v>
      </c>
      <c r="F28" s="1">
        <v>100</v>
      </c>
      <c r="G28" s="1">
        <v>116</v>
      </c>
      <c r="H28" s="1">
        <v>83</v>
      </c>
      <c r="I28" s="1">
        <v>76</v>
      </c>
      <c r="J28" s="1"/>
      <c r="L28" s="4"/>
      <c r="M28" s="1" t="s">
        <v>20</v>
      </c>
      <c r="N28" s="17"/>
      <c r="O28" s="1"/>
      <c r="P28" s="1"/>
      <c r="Q28" s="1"/>
      <c r="R28" s="1"/>
      <c r="S28" s="7"/>
      <c r="T28" s="7"/>
      <c r="U28" s="7"/>
    </row>
    <row r="29" spans="2:21" x14ac:dyDescent="0.3">
      <c r="D29" s="1"/>
      <c r="E29" s="1">
        <v>125</v>
      </c>
      <c r="F29" s="1">
        <v>98</v>
      </c>
      <c r="G29" s="1">
        <v>99</v>
      </c>
      <c r="H29" s="1">
        <v>139</v>
      </c>
      <c r="I29" s="1">
        <v>78</v>
      </c>
      <c r="J29" s="1"/>
      <c r="K29" s="3">
        <f>SUM(E25:I29)</f>
        <v>2547</v>
      </c>
      <c r="L29" s="4"/>
    </row>
    <row r="30" spans="2:21" x14ac:dyDescent="0.3">
      <c r="L30" s="4"/>
    </row>
    <row r="31" spans="2:21" x14ac:dyDescent="0.3">
      <c r="B31" t="s">
        <v>8</v>
      </c>
      <c r="C31">
        <v>2012</v>
      </c>
      <c r="D31" s="2"/>
      <c r="E31" s="2" t="s">
        <v>0</v>
      </c>
      <c r="F31" s="2" t="s">
        <v>1</v>
      </c>
      <c r="G31" s="2" t="s">
        <v>2</v>
      </c>
      <c r="H31" s="2" t="s">
        <v>1</v>
      </c>
      <c r="I31" s="2" t="s">
        <v>3</v>
      </c>
      <c r="J31" s="2"/>
      <c r="L31" s="4"/>
    </row>
    <row r="32" spans="2:21" x14ac:dyDescent="0.3">
      <c r="D32" s="1"/>
      <c r="E32" s="1">
        <v>0</v>
      </c>
      <c r="F32" s="1">
        <v>123</v>
      </c>
      <c r="G32" s="1">
        <v>167</v>
      </c>
      <c r="H32" s="1">
        <v>128</v>
      </c>
      <c r="I32" s="1">
        <v>77</v>
      </c>
      <c r="J32" s="1"/>
      <c r="L32" s="4"/>
    </row>
    <row r="33" spans="4:12" x14ac:dyDescent="0.3">
      <c r="D33" s="1"/>
      <c r="E33" s="1">
        <v>142</v>
      </c>
      <c r="F33" s="1">
        <v>108</v>
      </c>
      <c r="G33" s="1">
        <v>106</v>
      </c>
      <c r="H33" s="1">
        <v>115</v>
      </c>
      <c r="I33" s="1">
        <v>104</v>
      </c>
      <c r="J33" s="1"/>
      <c r="L33" s="4"/>
    </row>
    <row r="34" spans="4:12" x14ac:dyDescent="0.3">
      <c r="D34" s="1"/>
      <c r="E34" s="1">
        <v>124</v>
      </c>
      <c r="F34" s="1">
        <v>135</v>
      </c>
      <c r="G34" s="1">
        <v>123</v>
      </c>
      <c r="H34" s="1">
        <v>120</v>
      </c>
      <c r="I34" s="1">
        <v>86</v>
      </c>
      <c r="J34" s="1"/>
      <c r="L34" s="4"/>
    </row>
    <row r="35" spans="4:12" x14ac:dyDescent="0.3">
      <c r="D35" s="1"/>
      <c r="E35" s="1">
        <v>139</v>
      </c>
      <c r="F35" s="1">
        <v>136</v>
      </c>
      <c r="G35" s="1">
        <v>120</v>
      </c>
      <c r="H35" s="1">
        <v>116</v>
      </c>
      <c r="I35" s="1">
        <v>105</v>
      </c>
      <c r="J35" s="1"/>
      <c r="L35" s="4"/>
    </row>
    <row r="36" spans="4:12" x14ac:dyDescent="0.3">
      <c r="D36" s="1"/>
      <c r="E36" s="1"/>
      <c r="F36" s="1"/>
      <c r="G36" s="1"/>
      <c r="H36" s="1"/>
      <c r="I36" s="1"/>
      <c r="J36" s="1"/>
      <c r="K36" s="3">
        <f>SUM(E32:I35)</f>
        <v>2274</v>
      </c>
      <c r="L36" s="4"/>
    </row>
  </sheetData>
  <mergeCells count="2">
    <mergeCell ref="B2:J2"/>
    <mergeCell ref="A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opLeftCell="F1" workbookViewId="0">
      <selection activeCell="M3" sqref="M3:M4"/>
    </sheetView>
  </sheetViews>
  <sheetFormatPr defaultRowHeight="14.4" x14ac:dyDescent="0.3"/>
  <cols>
    <col min="2" max="2" width="15.33203125" bestFit="1" customWidth="1"/>
    <col min="3" max="3" width="8.88671875" customWidth="1"/>
    <col min="11" max="11" width="22.21875" bestFit="1" customWidth="1"/>
    <col min="12" max="12" width="13.21875" bestFit="1" customWidth="1"/>
    <col min="16" max="16" width="45.109375" bestFit="1" customWidth="1"/>
  </cols>
  <sheetData>
    <row r="1" spans="1:17" x14ac:dyDescent="0.3">
      <c r="B1" t="s">
        <v>52</v>
      </c>
      <c r="C1" t="s">
        <v>53</v>
      </c>
      <c r="D1" t="s">
        <v>54</v>
      </c>
      <c r="E1" t="s">
        <v>55</v>
      </c>
      <c r="L1" s="35" t="s">
        <v>63</v>
      </c>
      <c r="M1" s="3" t="s">
        <v>64</v>
      </c>
      <c r="N1" s="3" t="s">
        <v>62</v>
      </c>
      <c r="P1" t="s">
        <v>77</v>
      </c>
      <c r="Q1">
        <f>8*23</f>
        <v>184</v>
      </c>
    </row>
    <row r="2" spans="1:17" x14ac:dyDescent="0.3">
      <c r="A2" t="s">
        <v>51</v>
      </c>
      <c r="B2" s="30">
        <v>39661</v>
      </c>
      <c r="D2" s="30">
        <f>B2+210</f>
        <v>39871</v>
      </c>
      <c r="E2" s="30">
        <f>B2+365</f>
        <v>40026</v>
      </c>
      <c r="K2" t="s">
        <v>68</v>
      </c>
      <c r="L2" s="33">
        <v>6.3927469135802465E-3</v>
      </c>
      <c r="M2" s="40">
        <v>288.77777777777777</v>
      </c>
      <c r="N2" s="40">
        <v>112.22222222222223</v>
      </c>
      <c r="P2" t="s">
        <v>79</v>
      </c>
      <c r="Q2">
        <v>23</v>
      </c>
    </row>
    <row r="3" spans="1:17" x14ac:dyDescent="0.3">
      <c r="A3" t="s">
        <v>49</v>
      </c>
      <c r="B3" s="30">
        <v>40118</v>
      </c>
      <c r="D3" s="30">
        <f t="shared" ref="D3:D10" si="0">B3+210</f>
        <v>40328</v>
      </c>
      <c r="E3" s="30">
        <f t="shared" ref="E3:E10" si="1">B3+365</f>
        <v>40483</v>
      </c>
      <c r="F3" t="s">
        <v>56</v>
      </c>
      <c r="K3" t="s">
        <v>67</v>
      </c>
      <c r="L3" s="33">
        <v>4.6209490740740742E-3</v>
      </c>
      <c r="M3" s="40">
        <v>410.5</v>
      </c>
      <c r="N3" s="40">
        <v>284</v>
      </c>
      <c r="P3" t="s">
        <v>83</v>
      </c>
      <c r="Q3">
        <v>3</v>
      </c>
    </row>
    <row r="4" spans="1:17" x14ac:dyDescent="0.3">
      <c r="A4" t="s">
        <v>50</v>
      </c>
      <c r="B4" s="30">
        <v>40575</v>
      </c>
      <c r="D4" s="30">
        <f t="shared" si="0"/>
        <v>40785</v>
      </c>
      <c r="E4" s="30">
        <f t="shared" si="1"/>
        <v>40940</v>
      </c>
      <c r="F4" t="s">
        <v>56</v>
      </c>
      <c r="K4" t="s">
        <v>56</v>
      </c>
      <c r="L4" s="33">
        <v>4.7316919191919193E-3</v>
      </c>
      <c r="M4" s="40">
        <v>360.18181818181819</v>
      </c>
      <c r="N4" s="40">
        <v>217.72727272727272</v>
      </c>
      <c r="P4" t="s">
        <v>84</v>
      </c>
      <c r="Q4">
        <f>353/60</f>
        <v>5.8833333333333337</v>
      </c>
    </row>
    <row r="5" spans="1:17" x14ac:dyDescent="0.3">
      <c r="A5" t="s">
        <v>42</v>
      </c>
      <c r="B5" s="30">
        <v>40695</v>
      </c>
      <c r="D5" s="30">
        <f t="shared" si="0"/>
        <v>40905</v>
      </c>
      <c r="E5" s="30">
        <f t="shared" si="1"/>
        <v>41060</v>
      </c>
      <c r="F5" t="s">
        <v>56</v>
      </c>
      <c r="M5" s="40"/>
      <c r="N5" s="40"/>
      <c r="P5" t="s">
        <v>78</v>
      </c>
      <c r="Q5">
        <v>6</v>
      </c>
    </row>
    <row r="6" spans="1:17" x14ac:dyDescent="0.3">
      <c r="A6" t="s">
        <v>44</v>
      </c>
      <c r="B6" s="30">
        <v>40695</v>
      </c>
      <c r="D6" s="30">
        <f t="shared" si="0"/>
        <v>40905</v>
      </c>
      <c r="E6" s="30">
        <f t="shared" si="1"/>
        <v>41060</v>
      </c>
      <c r="F6" t="s">
        <v>56</v>
      </c>
      <c r="K6" t="s">
        <v>75</v>
      </c>
      <c r="L6" s="33">
        <f>AVERAGE(L2:L4)</f>
        <v>5.2484626356154133E-3</v>
      </c>
      <c r="M6" s="40">
        <f>AVERAGE(M2:M4)</f>
        <v>353.15319865319867</v>
      </c>
      <c r="N6" s="40">
        <f>AVERAGE(N2:N4)</f>
        <v>204.64983164983164</v>
      </c>
      <c r="P6" t="s">
        <v>80</v>
      </c>
      <c r="Q6">
        <f>(Q1-Q2-Q3-Q4)*Q5</f>
        <v>912.7</v>
      </c>
    </row>
    <row r="7" spans="1:17" x14ac:dyDescent="0.3">
      <c r="A7" t="s">
        <v>48</v>
      </c>
      <c r="B7" s="30">
        <v>40787</v>
      </c>
      <c r="D7" s="30">
        <f t="shared" si="0"/>
        <v>40997</v>
      </c>
      <c r="E7" s="30">
        <f t="shared" si="1"/>
        <v>41152</v>
      </c>
      <c r="F7" t="s">
        <v>57</v>
      </c>
      <c r="G7" t="s">
        <v>58</v>
      </c>
      <c r="L7" s="34"/>
      <c r="P7" t="s">
        <v>81</v>
      </c>
      <c r="Q7">
        <f>900.61/4</f>
        <v>225.1525</v>
      </c>
    </row>
    <row r="8" spans="1:17" x14ac:dyDescent="0.3">
      <c r="A8" t="s">
        <v>45</v>
      </c>
      <c r="B8" s="30">
        <v>40940</v>
      </c>
      <c r="D8" s="30">
        <f t="shared" si="0"/>
        <v>41150</v>
      </c>
      <c r="E8" s="30">
        <f t="shared" si="1"/>
        <v>41305</v>
      </c>
      <c r="F8" t="s">
        <v>59</v>
      </c>
      <c r="G8" t="s">
        <v>60</v>
      </c>
      <c r="P8" t="s">
        <v>82</v>
      </c>
      <c r="Q8">
        <f>Q6-Q7</f>
        <v>687.54750000000001</v>
      </c>
    </row>
    <row r="9" spans="1:17" x14ac:dyDescent="0.3">
      <c r="A9" t="s">
        <v>47</v>
      </c>
      <c r="B9" s="30">
        <v>41030</v>
      </c>
      <c r="D9" s="30">
        <f t="shared" si="0"/>
        <v>41240</v>
      </c>
      <c r="E9" s="30">
        <f t="shared" si="1"/>
        <v>41395</v>
      </c>
      <c r="F9" s="31" t="s">
        <v>61</v>
      </c>
    </row>
    <row r="10" spans="1:17" x14ac:dyDescent="0.3">
      <c r="A10" t="s">
        <v>46</v>
      </c>
      <c r="B10" s="30">
        <v>41153</v>
      </c>
      <c r="D10" s="30">
        <f t="shared" si="0"/>
        <v>41363</v>
      </c>
      <c r="E10" s="30">
        <f t="shared" si="1"/>
        <v>41518</v>
      </c>
      <c r="F10" s="31" t="s">
        <v>61</v>
      </c>
    </row>
    <row r="13" spans="1:17" x14ac:dyDescent="0.3">
      <c r="A13" t="s">
        <v>69</v>
      </c>
      <c r="F13" t="s">
        <v>67</v>
      </c>
      <c r="K13" t="s">
        <v>68</v>
      </c>
    </row>
    <row r="14" spans="1:17" x14ac:dyDescent="0.3">
      <c r="B14" s="33" t="s">
        <v>63</v>
      </c>
      <c r="C14" t="s">
        <v>64</v>
      </c>
      <c r="D14" t="s">
        <v>62</v>
      </c>
      <c r="G14" s="33" t="s">
        <v>63</v>
      </c>
      <c r="H14" t="s">
        <v>64</v>
      </c>
      <c r="I14" t="s">
        <v>62</v>
      </c>
      <c r="L14" s="33" t="s">
        <v>63</v>
      </c>
      <c r="M14" t="s">
        <v>64</v>
      </c>
      <c r="N14" t="s">
        <v>62</v>
      </c>
    </row>
    <row r="15" spans="1:17" x14ac:dyDescent="0.3">
      <c r="A15" t="s">
        <v>48</v>
      </c>
      <c r="B15" s="33">
        <v>4.2708333333333339E-3</v>
      </c>
      <c r="C15">
        <v>464</v>
      </c>
      <c r="D15">
        <v>277</v>
      </c>
      <c r="F15" t="s">
        <v>48</v>
      </c>
      <c r="G15" s="32">
        <v>4.4907407407407405E-3</v>
      </c>
      <c r="H15">
        <v>414</v>
      </c>
      <c r="I15">
        <v>271</v>
      </c>
      <c r="K15" t="s">
        <v>47</v>
      </c>
      <c r="L15" s="32">
        <v>7.0023148148148154E-3</v>
      </c>
      <c r="M15">
        <v>315</v>
      </c>
      <c r="N15">
        <v>128</v>
      </c>
    </row>
    <row r="16" spans="1:17" x14ac:dyDescent="0.3">
      <c r="A16" t="s">
        <v>65</v>
      </c>
      <c r="B16" s="33">
        <v>4.6180555555555558E-3</v>
      </c>
      <c r="C16">
        <v>345</v>
      </c>
      <c r="D16">
        <v>220</v>
      </c>
      <c r="F16" t="s">
        <v>48</v>
      </c>
      <c r="G16" s="32">
        <v>4.31712962962963E-3</v>
      </c>
      <c r="H16">
        <v>456</v>
      </c>
      <c r="I16">
        <v>322</v>
      </c>
      <c r="K16" t="s">
        <v>46</v>
      </c>
      <c r="L16" s="32">
        <v>6.5277777777777782E-3</v>
      </c>
      <c r="M16">
        <v>197</v>
      </c>
      <c r="N16">
        <v>27</v>
      </c>
    </row>
    <row r="17" spans="1:14" x14ac:dyDescent="0.3">
      <c r="A17" t="s">
        <v>42</v>
      </c>
      <c r="B17" s="33">
        <v>5.6712962962962958E-3</v>
      </c>
      <c r="C17">
        <f>52*2</f>
        <v>104</v>
      </c>
      <c r="D17">
        <f>61*2</f>
        <v>122</v>
      </c>
      <c r="F17" t="s">
        <v>48</v>
      </c>
      <c r="G17" s="32">
        <v>4.6527777777777774E-3</v>
      </c>
      <c r="H17">
        <v>478</v>
      </c>
      <c r="I17">
        <v>325</v>
      </c>
      <c r="K17" t="s">
        <v>47</v>
      </c>
      <c r="L17" s="32">
        <v>6.7939814814814816E-3</v>
      </c>
      <c r="M17">
        <v>356</v>
      </c>
      <c r="N17">
        <v>133</v>
      </c>
    </row>
    <row r="18" spans="1:14" x14ac:dyDescent="0.3">
      <c r="A18" t="s">
        <v>43</v>
      </c>
      <c r="B18" s="33">
        <v>5.138888888888889E-3</v>
      </c>
      <c r="C18">
        <v>300</v>
      </c>
      <c r="D18">
        <v>256</v>
      </c>
      <c r="F18" t="s">
        <v>45</v>
      </c>
      <c r="G18" s="32">
        <v>5.0231481481481481E-3</v>
      </c>
      <c r="H18">
        <v>294</v>
      </c>
      <c r="I18">
        <v>218</v>
      </c>
      <c r="K18" t="s">
        <v>46</v>
      </c>
      <c r="L18" s="32">
        <v>6.6087962962962966E-3</v>
      </c>
      <c r="M18">
        <v>136</v>
      </c>
      <c r="N18">
        <v>16</v>
      </c>
    </row>
    <row r="19" spans="1:14" x14ac:dyDescent="0.3">
      <c r="A19" t="s">
        <v>65</v>
      </c>
      <c r="B19" s="33">
        <v>4.363425925925926E-3</v>
      </c>
      <c r="C19">
        <v>529</v>
      </c>
      <c r="D19">
        <v>303</v>
      </c>
      <c r="K19" t="s">
        <v>45</v>
      </c>
      <c r="L19" s="32">
        <v>5.4861111111111117E-3</v>
      </c>
      <c r="M19">
        <v>446</v>
      </c>
      <c r="N19">
        <v>195</v>
      </c>
    </row>
    <row r="20" spans="1:14" x14ac:dyDescent="0.3">
      <c r="A20" t="s">
        <v>42</v>
      </c>
      <c r="B20" s="33">
        <v>7.2685185185185188E-3</v>
      </c>
      <c r="C20">
        <f>130*2</f>
        <v>260</v>
      </c>
      <c r="D20">
        <f>34*2</f>
        <v>68</v>
      </c>
      <c r="F20" s="3" t="s">
        <v>66</v>
      </c>
      <c r="G20" s="37">
        <f>AVERAGE(G15:G18)</f>
        <v>4.6209490740740742E-3</v>
      </c>
      <c r="H20" s="36">
        <f>AVERAGE(H15:H18)</f>
        <v>410.5</v>
      </c>
      <c r="I20" s="36">
        <f>AVERAGE(I15:I18)</f>
        <v>284</v>
      </c>
      <c r="K20" t="s">
        <v>47</v>
      </c>
      <c r="L20" s="32">
        <v>7.0717592592592594E-3</v>
      </c>
      <c r="M20">
        <v>322</v>
      </c>
      <c r="N20">
        <v>121</v>
      </c>
    </row>
    <row r="21" spans="1:14" x14ac:dyDescent="0.3">
      <c r="A21" t="s">
        <v>43</v>
      </c>
      <c r="B21" s="33">
        <v>6.8981481481481489E-3</v>
      </c>
      <c r="C21">
        <v>316</v>
      </c>
      <c r="D21">
        <v>192</v>
      </c>
      <c r="K21" t="s">
        <v>45</v>
      </c>
      <c r="L21" s="32">
        <v>5.7060185185185191E-3</v>
      </c>
      <c r="M21">
        <v>328</v>
      </c>
      <c r="N21">
        <v>128</v>
      </c>
    </row>
    <row r="22" spans="1:14" x14ac:dyDescent="0.3">
      <c r="A22" t="s">
        <v>65</v>
      </c>
      <c r="B22" s="33">
        <v>3.6342592592592594E-3</v>
      </c>
      <c r="C22">
        <v>525</v>
      </c>
      <c r="D22">
        <v>312</v>
      </c>
      <c r="K22" t="s">
        <v>47</v>
      </c>
      <c r="L22" s="32">
        <v>7.0486111111111105E-3</v>
      </c>
      <c r="M22">
        <v>149</v>
      </c>
      <c r="N22">
        <v>140</v>
      </c>
    </row>
    <row r="23" spans="1:14" x14ac:dyDescent="0.3">
      <c r="A23" t="s">
        <v>42</v>
      </c>
      <c r="B23" s="33">
        <v>4.1782407407407402E-3</v>
      </c>
      <c r="C23">
        <v>180</v>
      </c>
      <c r="D23">
        <v>113</v>
      </c>
      <c r="K23" t="s">
        <v>45</v>
      </c>
      <c r="L23" s="32">
        <v>5.2893518518518515E-3</v>
      </c>
      <c r="M23">
        <v>350</v>
      </c>
      <c r="N23">
        <v>122</v>
      </c>
    </row>
    <row r="24" spans="1:14" x14ac:dyDescent="0.3">
      <c r="A24" t="s">
        <v>43</v>
      </c>
      <c r="B24" s="33">
        <v>5.2314814814814819E-3</v>
      </c>
      <c r="C24">
        <v>273</v>
      </c>
      <c r="D24">
        <v>193</v>
      </c>
    </row>
    <row r="25" spans="1:14" x14ac:dyDescent="0.3">
      <c r="A25" t="s">
        <v>65</v>
      </c>
      <c r="B25" s="33">
        <v>4.1435185185185186E-3</v>
      </c>
      <c r="C25">
        <v>383</v>
      </c>
      <c r="D25">
        <v>197</v>
      </c>
      <c r="K25" s="3" t="s">
        <v>66</v>
      </c>
      <c r="L25" s="37">
        <f>AVERAGE(L15:L23)</f>
        <v>6.3927469135802465E-3</v>
      </c>
      <c r="M25" s="3">
        <f>AVERAGE(M15:M23)</f>
        <v>288.77777777777777</v>
      </c>
      <c r="N25" s="3">
        <f>AVERAGE(N15:N23)</f>
        <v>112.22222222222223</v>
      </c>
    </row>
    <row r="26" spans="1:14" x14ac:dyDescent="0.3">
      <c r="A26" t="s">
        <v>42</v>
      </c>
      <c r="B26" s="33">
        <v>4.340277777777778E-3</v>
      </c>
      <c r="C26">
        <v>393</v>
      </c>
      <c r="D26">
        <v>159</v>
      </c>
    </row>
    <row r="27" spans="1:14" x14ac:dyDescent="0.3">
      <c r="A27" t="s">
        <v>43</v>
      </c>
      <c r="B27" s="33">
        <v>5.2314814814814819E-3</v>
      </c>
      <c r="C27">
        <v>254</v>
      </c>
      <c r="D27">
        <v>173</v>
      </c>
    </row>
    <row r="28" spans="1:14" x14ac:dyDescent="0.3">
      <c r="B28" s="33"/>
    </row>
    <row r="29" spans="1:14" x14ac:dyDescent="0.3">
      <c r="A29" s="3" t="s">
        <v>66</v>
      </c>
      <c r="B29" s="35">
        <f>AVERAGE(B15:B27)</f>
        <v>4.9991096866096865E-3</v>
      </c>
      <c r="C29" s="36">
        <f>AVERAGE(C15:C27)</f>
        <v>332.76923076923077</v>
      </c>
      <c r="D29" s="36">
        <f>AVERAGE(D15:D27)</f>
        <v>198.84615384615384</v>
      </c>
    </row>
    <row r="30" spans="1:14" x14ac:dyDescent="0.3">
      <c r="A30" s="3"/>
      <c r="B30" s="35"/>
      <c r="C30" s="36"/>
      <c r="D30" s="36"/>
    </row>
    <row r="31" spans="1:14" x14ac:dyDescent="0.3">
      <c r="A31" t="s">
        <v>70</v>
      </c>
      <c r="B31" s="33"/>
    </row>
    <row r="32" spans="1:14" x14ac:dyDescent="0.3">
      <c r="A32" t="s">
        <v>48</v>
      </c>
      <c r="B32" s="33">
        <v>4.2708333333333339E-3</v>
      </c>
      <c r="C32">
        <v>464</v>
      </c>
      <c r="D32">
        <v>277</v>
      </c>
    </row>
    <row r="33" spans="1:4" x14ac:dyDescent="0.3">
      <c r="A33" t="s">
        <v>65</v>
      </c>
      <c r="B33" s="33">
        <v>4.6180555555555558E-3</v>
      </c>
      <c r="C33">
        <v>345</v>
      </c>
      <c r="D33">
        <v>220</v>
      </c>
    </row>
    <row r="34" spans="1:4" x14ac:dyDescent="0.3">
      <c r="A34" t="s">
        <v>43</v>
      </c>
      <c r="B34" s="33">
        <v>5.138888888888889E-3</v>
      </c>
      <c r="C34">
        <v>300</v>
      </c>
      <c r="D34">
        <v>256</v>
      </c>
    </row>
    <row r="35" spans="1:4" x14ac:dyDescent="0.3">
      <c r="A35" t="s">
        <v>65</v>
      </c>
      <c r="B35" s="33">
        <v>4.363425925925926E-3</v>
      </c>
      <c r="C35">
        <v>529</v>
      </c>
      <c r="D35">
        <v>303</v>
      </c>
    </row>
    <row r="36" spans="1:4" x14ac:dyDescent="0.3">
      <c r="A36" t="s">
        <v>43</v>
      </c>
      <c r="B36" s="33">
        <v>6.8981481481481489E-3</v>
      </c>
      <c r="C36">
        <v>316</v>
      </c>
      <c r="D36">
        <v>192</v>
      </c>
    </row>
    <row r="37" spans="1:4" x14ac:dyDescent="0.3">
      <c r="A37" t="s">
        <v>65</v>
      </c>
      <c r="B37" s="33">
        <v>3.6342592592592594E-3</v>
      </c>
      <c r="C37">
        <v>525</v>
      </c>
      <c r="D37">
        <v>312</v>
      </c>
    </row>
    <row r="38" spans="1:4" x14ac:dyDescent="0.3">
      <c r="A38" t="s">
        <v>42</v>
      </c>
      <c r="B38" s="33">
        <v>4.1782407407407402E-3</v>
      </c>
      <c r="C38">
        <v>180</v>
      </c>
      <c r="D38">
        <v>113</v>
      </c>
    </row>
    <row r="39" spans="1:4" x14ac:dyDescent="0.3">
      <c r="A39" t="s">
        <v>43</v>
      </c>
      <c r="B39" s="33">
        <v>5.2314814814814819E-3</v>
      </c>
      <c r="C39">
        <v>273</v>
      </c>
      <c r="D39">
        <v>193</v>
      </c>
    </row>
    <row r="40" spans="1:4" x14ac:dyDescent="0.3">
      <c r="A40" t="s">
        <v>65</v>
      </c>
      <c r="B40" s="33">
        <v>4.1435185185185186E-3</v>
      </c>
      <c r="C40">
        <v>383</v>
      </c>
      <c r="D40">
        <v>197</v>
      </c>
    </row>
    <row r="41" spans="1:4" x14ac:dyDescent="0.3">
      <c r="A41" t="s">
        <v>42</v>
      </c>
      <c r="B41" s="33">
        <v>4.340277777777778E-3</v>
      </c>
      <c r="C41">
        <v>393</v>
      </c>
      <c r="D41">
        <v>159</v>
      </c>
    </row>
    <row r="42" spans="1:4" x14ac:dyDescent="0.3">
      <c r="A42" t="s">
        <v>43</v>
      </c>
      <c r="B42" s="33">
        <v>5.2314814814814819E-3</v>
      </c>
      <c r="C42">
        <v>254</v>
      </c>
      <c r="D42">
        <v>173</v>
      </c>
    </row>
    <row r="43" spans="1:4" x14ac:dyDescent="0.3">
      <c r="B43" s="33"/>
    </row>
    <row r="44" spans="1:4" x14ac:dyDescent="0.3">
      <c r="A44" s="3" t="s">
        <v>66</v>
      </c>
      <c r="B44" s="35">
        <f>AVERAGE(B32:B42)</f>
        <v>4.7316919191919193E-3</v>
      </c>
      <c r="C44" s="36">
        <f>AVERAGE(C32:C42)</f>
        <v>360.18181818181819</v>
      </c>
      <c r="D44" s="36">
        <f>AVERAGE(D32:D42)</f>
        <v>217.72727272727272</v>
      </c>
    </row>
    <row r="45" spans="1:4" x14ac:dyDescent="0.3">
      <c r="B45" s="33"/>
    </row>
    <row r="46" spans="1:4" x14ac:dyDescent="0.3">
      <c r="B46" s="33"/>
    </row>
    <row r="47" spans="1:4" x14ac:dyDescent="0.3">
      <c r="B47" s="33"/>
    </row>
    <row r="48" spans="1:4" x14ac:dyDescent="0.3">
      <c r="B48" s="33"/>
    </row>
    <row r="49" spans="2:2" x14ac:dyDescent="0.3">
      <c r="B49" s="33"/>
    </row>
    <row r="50" spans="2:2" x14ac:dyDescent="0.3">
      <c r="B50" s="33"/>
    </row>
    <row r="51" spans="2:2" x14ac:dyDescent="0.3">
      <c r="B51" s="33"/>
    </row>
    <row r="52" spans="2:2" x14ac:dyDescent="0.3">
      <c r="B52" s="33"/>
    </row>
    <row r="53" spans="2:2" x14ac:dyDescent="0.3">
      <c r="B53" s="33"/>
    </row>
    <row r="54" spans="2:2" x14ac:dyDescent="0.3">
      <c r="B54" s="33"/>
    </row>
    <row r="55" spans="2:2" x14ac:dyDescent="0.3">
      <c r="B55" s="33"/>
    </row>
    <row r="56" spans="2:2" x14ac:dyDescent="0.3">
      <c r="B56" s="33"/>
    </row>
    <row r="57" spans="2:2" x14ac:dyDescent="0.3">
      <c r="B57" s="33"/>
    </row>
    <row r="58" spans="2:2" x14ac:dyDescent="0.3">
      <c r="B58" s="33"/>
    </row>
    <row r="59" spans="2:2" x14ac:dyDescent="0.3">
      <c r="B59" s="33"/>
    </row>
    <row r="60" spans="2:2" x14ac:dyDescent="0.3">
      <c r="B60" s="33"/>
    </row>
    <row r="61" spans="2:2" x14ac:dyDescent="0.3">
      <c r="B61" s="33"/>
    </row>
    <row r="62" spans="2:2" x14ac:dyDescent="0.3">
      <c r="B62" s="33"/>
    </row>
    <row r="63" spans="2:2" x14ac:dyDescent="0.3">
      <c r="B63" s="33"/>
    </row>
    <row r="64" spans="2:2" x14ac:dyDescent="0.3">
      <c r="B64" s="33"/>
    </row>
    <row r="65" spans="2:2" x14ac:dyDescent="0.3">
      <c r="B65" s="33"/>
    </row>
    <row r="66" spans="2:2" x14ac:dyDescent="0.3">
      <c r="B66" s="33"/>
    </row>
    <row r="67" spans="2:2" x14ac:dyDescent="0.3">
      <c r="B67" s="33"/>
    </row>
    <row r="68" spans="2:2" x14ac:dyDescent="0.3">
      <c r="B68" s="33"/>
    </row>
    <row r="69" spans="2:2" x14ac:dyDescent="0.3">
      <c r="B69" s="33"/>
    </row>
    <row r="70" spans="2:2" x14ac:dyDescent="0.3">
      <c r="B70" s="33"/>
    </row>
    <row r="71" spans="2:2" x14ac:dyDescent="0.3">
      <c r="B71" s="33"/>
    </row>
    <row r="72" spans="2:2" x14ac:dyDescent="0.3">
      <c r="B72" s="33"/>
    </row>
    <row r="73" spans="2:2" x14ac:dyDescent="0.3">
      <c r="B73" s="33"/>
    </row>
    <row r="74" spans="2:2" x14ac:dyDescent="0.3">
      <c r="B74" s="33"/>
    </row>
    <row r="75" spans="2:2" x14ac:dyDescent="0.3">
      <c r="B75" s="33"/>
    </row>
    <row r="76" spans="2:2" x14ac:dyDescent="0.3">
      <c r="B76" s="33"/>
    </row>
    <row r="77" spans="2:2" x14ac:dyDescent="0.3">
      <c r="B77" s="33"/>
    </row>
    <row r="78" spans="2:2" x14ac:dyDescent="0.3">
      <c r="B78" s="33"/>
    </row>
    <row r="79" spans="2:2" x14ac:dyDescent="0.3">
      <c r="B79" s="33"/>
    </row>
    <row r="80" spans="2:2" x14ac:dyDescent="0.3">
      <c r="B80" s="33"/>
    </row>
    <row r="81" spans="2:2" x14ac:dyDescent="0.3">
      <c r="B81" s="33"/>
    </row>
    <row r="82" spans="2:2" x14ac:dyDescent="0.3">
      <c r="B82" s="33"/>
    </row>
    <row r="83" spans="2:2" x14ac:dyDescent="0.3">
      <c r="B83" s="33"/>
    </row>
    <row r="84" spans="2:2" x14ac:dyDescent="0.3">
      <c r="B84" s="33"/>
    </row>
    <row r="85" spans="2:2" x14ac:dyDescent="0.3">
      <c r="B85" s="33"/>
    </row>
    <row r="86" spans="2:2" x14ac:dyDescent="0.3">
      <c r="B86" s="33"/>
    </row>
    <row r="87" spans="2:2" x14ac:dyDescent="0.3">
      <c r="B87" s="33"/>
    </row>
    <row r="88" spans="2:2" x14ac:dyDescent="0.3">
      <c r="B88" s="33"/>
    </row>
    <row r="89" spans="2:2" x14ac:dyDescent="0.3">
      <c r="B89" s="33"/>
    </row>
    <row r="90" spans="2:2" x14ac:dyDescent="0.3">
      <c r="B90" s="33"/>
    </row>
    <row r="91" spans="2:2" x14ac:dyDescent="0.3">
      <c r="B91" s="33"/>
    </row>
    <row r="92" spans="2:2" x14ac:dyDescent="0.3">
      <c r="B92" s="33"/>
    </row>
    <row r="93" spans="2:2" x14ac:dyDescent="0.3">
      <c r="B93" s="33"/>
    </row>
    <row r="94" spans="2:2" x14ac:dyDescent="0.3">
      <c r="B94" s="33"/>
    </row>
    <row r="95" spans="2:2" x14ac:dyDescent="0.3">
      <c r="B95" s="33"/>
    </row>
    <row r="96" spans="2:2" x14ac:dyDescent="0.3">
      <c r="B96" s="33"/>
    </row>
    <row r="97" spans="2:2" x14ac:dyDescent="0.3">
      <c r="B97" s="33"/>
    </row>
    <row r="98" spans="2:2" x14ac:dyDescent="0.3">
      <c r="B98" s="33"/>
    </row>
    <row r="99" spans="2:2" x14ac:dyDescent="0.3">
      <c r="B99" s="33"/>
    </row>
    <row r="100" spans="2:2" x14ac:dyDescent="0.3">
      <c r="B100" s="33"/>
    </row>
    <row r="101" spans="2:2" x14ac:dyDescent="0.3">
      <c r="B101" s="33"/>
    </row>
    <row r="102" spans="2:2" x14ac:dyDescent="0.3">
      <c r="B102" s="33"/>
    </row>
    <row r="103" spans="2:2" x14ac:dyDescent="0.3">
      <c r="B103" s="33"/>
    </row>
    <row r="104" spans="2:2" x14ac:dyDescent="0.3">
      <c r="B104" s="33"/>
    </row>
    <row r="105" spans="2:2" x14ac:dyDescent="0.3">
      <c r="B105" s="33"/>
    </row>
    <row r="106" spans="2:2" x14ac:dyDescent="0.3">
      <c r="B106" s="33"/>
    </row>
    <row r="107" spans="2:2" x14ac:dyDescent="0.3">
      <c r="B107" s="33"/>
    </row>
    <row r="108" spans="2:2" x14ac:dyDescent="0.3">
      <c r="B108" s="33"/>
    </row>
    <row r="109" spans="2:2" x14ac:dyDescent="0.3">
      <c r="B109" s="33"/>
    </row>
    <row r="110" spans="2:2" x14ac:dyDescent="0.3">
      <c r="B110" s="33"/>
    </row>
    <row r="111" spans="2:2" x14ac:dyDescent="0.3">
      <c r="B111" s="33"/>
    </row>
    <row r="112" spans="2:2" x14ac:dyDescent="0.3">
      <c r="B112" s="33"/>
    </row>
    <row r="113" spans="2:2" x14ac:dyDescent="0.3">
      <c r="B113" s="33"/>
    </row>
    <row r="114" spans="2:2" x14ac:dyDescent="0.3">
      <c r="B114" s="33"/>
    </row>
    <row r="115" spans="2:2" x14ac:dyDescent="0.3">
      <c r="B115" s="33"/>
    </row>
    <row r="116" spans="2:2" x14ac:dyDescent="0.3">
      <c r="B116" s="33"/>
    </row>
    <row r="117" spans="2:2" x14ac:dyDescent="0.3">
      <c r="B117" s="33"/>
    </row>
    <row r="118" spans="2:2" x14ac:dyDescent="0.3">
      <c r="B118" s="33"/>
    </row>
    <row r="119" spans="2:2" x14ac:dyDescent="0.3">
      <c r="B119" s="33"/>
    </row>
    <row r="120" spans="2:2" x14ac:dyDescent="0.3">
      <c r="B120" s="33"/>
    </row>
    <row r="121" spans="2:2" x14ac:dyDescent="0.3">
      <c r="B121" s="33"/>
    </row>
    <row r="122" spans="2:2" x14ac:dyDescent="0.3">
      <c r="B122" s="33"/>
    </row>
    <row r="123" spans="2:2" x14ac:dyDescent="0.3">
      <c r="B123" s="33"/>
    </row>
    <row r="124" spans="2:2" x14ac:dyDescent="0.3">
      <c r="B124" s="33"/>
    </row>
    <row r="125" spans="2:2" x14ac:dyDescent="0.3">
      <c r="B125" s="33"/>
    </row>
    <row r="126" spans="2:2" x14ac:dyDescent="0.3">
      <c r="B126" s="33"/>
    </row>
    <row r="127" spans="2:2" x14ac:dyDescent="0.3">
      <c r="B127" s="33"/>
    </row>
    <row r="128" spans="2:2" x14ac:dyDescent="0.3">
      <c r="B128" s="33"/>
    </row>
    <row r="129" spans="2:2" x14ac:dyDescent="0.3">
      <c r="B129" s="33"/>
    </row>
    <row r="130" spans="2:2" x14ac:dyDescent="0.3">
      <c r="B130" s="33"/>
    </row>
    <row r="131" spans="2:2" x14ac:dyDescent="0.3">
      <c r="B131" s="33"/>
    </row>
    <row r="132" spans="2:2" x14ac:dyDescent="0.3">
      <c r="B132" s="33"/>
    </row>
    <row r="133" spans="2:2" x14ac:dyDescent="0.3">
      <c r="B133" s="33"/>
    </row>
    <row r="134" spans="2:2" x14ac:dyDescent="0.3">
      <c r="B134" s="33"/>
    </row>
    <row r="135" spans="2:2" x14ac:dyDescent="0.3">
      <c r="B135" s="33"/>
    </row>
    <row r="136" spans="2:2" x14ac:dyDescent="0.3">
      <c r="B136" s="33"/>
    </row>
    <row r="137" spans="2:2" x14ac:dyDescent="0.3">
      <c r="B137" s="33"/>
    </row>
    <row r="138" spans="2:2" x14ac:dyDescent="0.3">
      <c r="B138" s="33"/>
    </row>
    <row r="139" spans="2:2" x14ac:dyDescent="0.3">
      <c r="B139" s="33"/>
    </row>
    <row r="140" spans="2:2" x14ac:dyDescent="0.3">
      <c r="B140" s="33"/>
    </row>
    <row r="141" spans="2:2" x14ac:dyDescent="0.3">
      <c r="B141" s="33"/>
    </row>
    <row r="142" spans="2:2" x14ac:dyDescent="0.3">
      <c r="B142" s="33"/>
    </row>
    <row r="143" spans="2:2" x14ac:dyDescent="0.3">
      <c r="B143" s="33"/>
    </row>
    <row r="144" spans="2:2" x14ac:dyDescent="0.3">
      <c r="B144" s="33"/>
    </row>
    <row r="145" spans="2:2" x14ac:dyDescent="0.3">
      <c r="B145" s="33"/>
    </row>
    <row r="146" spans="2:2" x14ac:dyDescent="0.3">
      <c r="B146" s="33"/>
    </row>
    <row r="147" spans="2:2" x14ac:dyDescent="0.3">
      <c r="B147" s="33"/>
    </row>
    <row r="148" spans="2:2" x14ac:dyDescent="0.3">
      <c r="B148" s="33"/>
    </row>
    <row r="149" spans="2:2" x14ac:dyDescent="0.3">
      <c r="B149" s="33"/>
    </row>
    <row r="150" spans="2:2" x14ac:dyDescent="0.3">
      <c r="B150" s="33"/>
    </row>
    <row r="151" spans="2:2" x14ac:dyDescent="0.3">
      <c r="B151" s="33"/>
    </row>
    <row r="152" spans="2:2" x14ac:dyDescent="0.3">
      <c r="B152" s="33"/>
    </row>
    <row r="153" spans="2:2" x14ac:dyDescent="0.3">
      <c r="B153" s="33"/>
    </row>
    <row r="154" spans="2:2" x14ac:dyDescent="0.3">
      <c r="B154" s="33"/>
    </row>
    <row r="155" spans="2:2" x14ac:dyDescent="0.3">
      <c r="B155" s="33"/>
    </row>
    <row r="156" spans="2:2" x14ac:dyDescent="0.3">
      <c r="B156" s="33"/>
    </row>
    <row r="157" spans="2:2" x14ac:dyDescent="0.3">
      <c r="B157" s="33"/>
    </row>
    <row r="158" spans="2:2" x14ac:dyDescent="0.3">
      <c r="B158" s="33"/>
    </row>
    <row r="159" spans="2:2" x14ac:dyDescent="0.3">
      <c r="B159" s="33"/>
    </row>
    <row r="160" spans="2:2" x14ac:dyDescent="0.3">
      <c r="B160" s="33"/>
    </row>
    <row r="161" spans="2:2" x14ac:dyDescent="0.3">
      <c r="B161" s="33"/>
    </row>
    <row r="162" spans="2:2" x14ac:dyDescent="0.3">
      <c r="B162" s="33"/>
    </row>
    <row r="163" spans="2:2" x14ac:dyDescent="0.3">
      <c r="B163" s="33"/>
    </row>
    <row r="164" spans="2:2" x14ac:dyDescent="0.3">
      <c r="B164" s="33"/>
    </row>
    <row r="165" spans="2:2" x14ac:dyDescent="0.3">
      <c r="B165" s="33"/>
    </row>
    <row r="166" spans="2:2" x14ac:dyDescent="0.3">
      <c r="B166" s="33"/>
    </row>
    <row r="167" spans="2:2" x14ac:dyDescent="0.3">
      <c r="B167" s="33"/>
    </row>
    <row r="168" spans="2:2" x14ac:dyDescent="0.3">
      <c r="B168" s="33"/>
    </row>
  </sheetData>
  <sortState ref="A1:B9">
    <sortCondition ref="B1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L3" sqref="L3:L11"/>
    </sheetView>
  </sheetViews>
  <sheetFormatPr defaultRowHeight="14.4" x14ac:dyDescent="0.3"/>
  <cols>
    <col min="6" max="7" width="18.109375" bestFit="1" customWidth="1"/>
  </cols>
  <sheetData>
    <row r="1" spans="1:13" x14ac:dyDescent="0.3">
      <c r="A1" t="s">
        <v>90</v>
      </c>
      <c r="F1" t="s">
        <v>93</v>
      </c>
      <c r="I1" t="s">
        <v>94</v>
      </c>
      <c r="L1" t="s">
        <v>96</v>
      </c>
    </row>
    <row r="2" spans="1:13" x14ac:dyDescent="0.3">
      <c r="B2">
        <v>2013</v>
      </c>
      <c r="C2">
        <v>2012</v>
      </c>
      <c r="D2">
        <v>2011</v>
      </c>
      <c r="E2">
        <v>2010</v>
      </c>
      <c r="F2" t="s">
        <v>92</v>
      </c>
      <c r="G2" t="s">
        <v>91</v>
      </c>
      <c r="I2" t="s">
        <v>32</v>
      </c>
      <c r="J2" t="s">
        <v>34</v>
      </c>
      <c r="L2" t="s">
        <v>92</v>
      </c>
      <c r="M2" t="s">
        <v>91</v>
      </c>
    </row>
    <row r="3" spans="1:13" x14ac:dyDescent="0.3">
      <c r="A3" s="30" t="s">
        <v>11</v>
      </c>
      <c r="C3">
        <v>884</v>
      </c>
      <c r="D3">
        <v>629</v>
      </c>
      <c r="E3">
        <v>384</v>
      </c>
      <c r="F3" s="48">
        <f>(C3-D3)/D3</f>
        <v>0.40540540540540543</v>
      </c>
      <c r="G3" s="48">
        <f>(D3-E3)/E3</f>
        <v>0.63802083333333337</v>
      </c>
      <c r="I3" s="48">
        <v>0.65497076023391809</v>
      </c>
      <c r="J3" s="48">
        <v>0.45463137996219283</v>
      </c>
      <c r="L3" s="48">
        <v>0.26363636363636361</v>
      </c>
      <c r="M3" s="48">
        <v>0.49659863945578231</v>
      </c>
    </row>
    <row r="4" spans="1:13" x14ac:dyDescent="0.3">
      <c r="A4" s="30" t="s">
        <v>13</v>
      </c>
      <c r="C4">
        <v>771</v>
      </c>
      <c r="D4">
        <v>533</v>
      </c>
      <c r="E4">
        <v>323</v>
      </c>
      <c r="F4" s="48">
        <f t="shared" ref="F4:F14" si="0">(C4-D4)/D4</f>
        <v>0.44652908067542213</v>
      </c>
      <c r="G4" s="48">
        <f t="shared" ref="G4:G14" si="1">(D4-E4)/E4</f>
        <v>0.65015479876160986</v>
      </c>
      <c r="I4" s="48">
        <v>0.6217054263565891</v>
      </c>
      <c r="J4" s="48">
        <v>0.41602634467618005</v>
      </c>
      <c r="L4" s="48">
        <v>0.30810810810810813</v>
      </c>
      <c r="M4" s="48">
        <v>0.34057971014492755</v>
      </c>
    </row>
    <row r="5" spans="1:13" x14ac:dyDescent="0.3">
      <c r="A5" s="30" t="s">
        <v>14</v>
      </c>
      <c r="C5">
        <v>751</v>
      </c>
      <c r="D5">
        <v>526</v>
      </c>
      <c r="E5">
        <v>398</v>
      </c>
      <c r="F5" s="48">
        <f t="shared" si="0"/>
        <v>0.42775665399239543</v>
      </c>
      <c r="G5" s="48">
        <f t="shared" si="1"/>
        <v>0.32160804020100503</v>
      </c>
      <c r="I5" s="48">
        <v>0.43348281016442453</v>
      </c>
      <c r="J5" s="48">
        <v>0.48337028824833705</v>
      </c>
      <c r="L5" s="48">
        <v>0.58333333333333337</v>
      </c>
      <c r="M5" s="48">
        <v>0.13043478260869565</v>
      </c>
    </row>
    <row r="6" spans="1:13" x14ac:dyDescent="0.3">
      <c r="A6" s="30" t="s">
        <v>15</v>
      </c>
      <c r="C6">
        <v>700</v>
      </c>
      <c r="D6">
        <v>522</v>
      </c>
      <c r="E6">
        <v>297</v>
      </c>
      <c r="F6" s="48">
        <f t="shared" si="0"/>
        <v>0.34099616858237547</v>
      </c>
      <c r="G6" s="48">
        <f t="shared" si="1"/>
        <v>0.75757575757575757</v>
      </c>
      <c r="I6" s="48">
        <v>0.43462897526501765</v>
      </c>
      <c r="J6" s="48">
        <v>0.42749054224464061</v>
      </c>
      <c r="L6" s="48">
        <v>0.63380281690140849</v>
      </c>
      <c r="M6" s="48">
        <v>3.6496350364963501E-2</v>
      </c>
    </row>
    <row r="7" spans="1:13" x14ac:dyDescent="0.3">
      <c r="A7" s="30" t="s">
        <v>7</v>
      </c>
      <c r="C7">
        <v>691</v>
      </c>
      <c r="D7">
        <v>534</v>
      </c>
      <c r="E7">
        <v>321</v>
      </c>
      <c r="F7" s="48">
        <f t="shared" si="0"/>
        <v>0.29400749063670412</v>
      </c>
      <c r="G7" s="48">
        <f t="shared" si="1"/>
        <v>0.66355140186915884</v>
      </c>
      <c r="I7" s="48">
        <v>0.63962264150943393</v>
      </c>
      <c r="J7" s="48">
        <v>0.2339930151338766</v>
      </c>
      <c r="L7" s="48">
        <v>0.25</v>
      </c>
      <c r="M7" s="48">
        <v>0.34453781512605042</v>
      </c>
    </row>
    <row r="8" spans="1:13" x14ac:dyDescent="0.3">
      <c r="A8" s="30" t="s">
        <v>4</v>
      </c>
      <c r="C8">
        <v>856</v>
      </c>
      <c r="D8">
        <v>532</v>
      </c>
      <c r="E8">
        <v>344</v>
      </c>
      <c r="F8" s="48">
        <f t="shared" si="0"/>
        <v>0.60902255639097747</v>
      </c>
      <c r="G8" s="48">
        <f t="shared" si="1"/>
        <v>0.54651162790697672</v>
      </c>
      <c r="I8" s="48">
        <v>0.75121477162293493</v>
      </c>
      <c r="J8" s="48">
        <v>-1.2476007677543186E-2</v>
      </c>
      <c r="L8" s="48">
        <v>0.3105590062111801</v>
      </c>
      <c r="M8" s="48">
        <v>9.5238095238095233E-2</v>
      </c>
    </row>
    <row r="9" spans="1:13" x14ac:dyDescent="0.3">
      <c r="A9" s="30" t="s">
        <v>5</v>
      </c>
      <c r="C9">
        <v>898</v>
      </c>
      <c r="D9">
        <v>587</v>
      </c>
      <c r="E9">
        <v>345</v>
      </c>
      <c r="F9" s="48">
        <f t="shared" si="0"/>
        <v>0.52981260647359452</v>
      </c>
      <c r="G9" s="48">
        <f t="shared" si="1"/>
        <v>0.70144927536231882</v>
      </c>
      <c r="I9" s="48">
        <v>0.55813953488372092</v>
      </c>
      <c r="J9" s="48">
        <v>0.2430406852248394</v>
      </c>
      <c r="L9" s="48">
        <v>0.24479166666666666</v>
      </c>
      <c r="M9" s="48">
        <v>0.41176470588235292</v>
      </c>
    </row>
    <row r="10" spans="1:13" x14ac:dyDescent="0.3">
      <c r="A10" s="30" t="s">
        <v>16</v>
      </c>
      <c r="C10">
        <v>949</v>
      </c>
      <c r="D10">
        <v>610</v>
      </c>
      <c r="E10">
        <v>388</v>
      </c>
      <c r="F10" s="48">
        <f t="shared" si="0"/>
        <v>0.55573770491803276</v>
      </c>
      <c r="G10" s="48">
        <f t="shared" si="1"/>
        <v>0.57216494845360821</v>
      </c>
      <c r="I10" s="48">
        <v>0.643160577740017</v>
      </c>
      <c r="J10" s="48">
        <v>0.23246073298429321</v>
      </c>
      <c r="L10" s="48">
        <v>0.17346938775510204</v>
      </c>
      <c r="M10" s="48">
        <v>0.30666666666666664</v>
      </c>
    </row>
    <row r="11" spans="1:13" x14ac:dyDescent="0.3">
      <c r="A11" s="30" t="s">
        <v>17</v>
      </c>
      <c r="C11">
        <v>988</v>
      </c>
      <c r="D11">
        <v>672</v>
      </c>
      <c r="E11">
        <v>374</v>
      </c>
      <c r="F11" s="48">
        <f t="shared" si="0"/>
        <v>0.47023809523809523</v>
      </c>
      <c r="G11" s="48">
        <f t="shared" si="1"/>
        <v>0.79679144385026734</v>
      </c>
      <c r="I11" s="48">
        <v>0.11932877563704164</v>
      </c>
      <c r="J11" s="48">
        <v>0.50796626054358018</v>
      </c>
      <c r="L11" s="48">
        <v>8.673469387755102E-2</v>
      </c>
      <c r="M11" s="48">
        <v>0.23270440251572327</v>
      </c>
    </row>
    <row r="12" spans="1:13" x14ac:dyDescent="0.3">
      <c r="A12" s="30" t="s">
        <v>18</v>
      </c>
      <c r="D12">
        <v>717</v>
      </c>
      <c r="E12">
        <v>379</v>
      </c>
      <c r="F12" s="48">
        <f t="shared" si="0"/>
        <v>-1</v>
      </c>
      <c r="G12" s="48">
        <f t="shared" si="1"/>
        <v>0.89182058047493407</v>
      </c>
      <c r="I12" s="48">
        <v>0.79007238883143749</v>
      </c>
      <c r="J12" s="48">
        <v>0.79007238883143749</v>
      </c>
      <c r="L12" s="48">
        <v>-1</v>
      </c>
      <c r="M12" s="48">
        <v>0.25465838509316768</v>
      </c>
    </row>
    <row r="13" spans="1:13" x14ac:dyDescent="0.3">
      <c r="A13" s="30" t="s">
        <v>19</v>
      </c>
      <c r="D13">
        <v>680</v>
      </c>
      <c r="E13">
        <v>409</v>
      </c>
      <c r="F13" s="48">
        <f t="shared" si="0"/>
        <v>-1</v>
      </c>
      <c r="G13" s="48">
        <f t="shared" si="1"/>
        <v>0.66259168704156479</v>
      </c>
      <c r="I13" s="48">
        <v>0.47368421052631576</v>
      </c>
      <c r="J13" s="48">
        <v>0.47368421052631576</v>
      </c>
      <c r="L13" s="48">
        <v>-1</v>
      </c>
      <c r="M13" s="48">
        <v>9.9378881987577633E-2</v>
      </c>
    </row>
    <row r="14" spans="1:13" x14ac:dyDescent="0.3">
      <c r="A14" s="30" t="s">
        <v>20</v>
      </c>
      <c r="D14">
        <v>704</v>
      </c>
      <c r="E14">
        <v>429</v>
      </c>
      <c r="F14" s="48">
        <f t="shared" si="0"/>
        <v>-1</v>
      </c>
      <c r="G14" s="48">
        <f t="shared" si="1"/>
        <v>0.64102564102564108</v>
      </c>
      <c r="I14" s="48">
        <v>0.76082862523540473</v>
      </c>
      <c r="J14" s="48">
        <v>0.76082862523540484</v>
      </c>
      <c r="L14" s="48">
        <v>-1</v>
      </c>
      <c r="M14" s="48">
        <v>0.17415730337078653</v>
      </c>
    </row>
    <row r="15" spans="1:13" x14ac:dyDescent="0.3">
      <c r="A15" s="30"/>
    </row>
    <row r="16" spans="1:13" x14ac:dyDescent="0.3">
      <c r="A16" s="30"/>
    </row>
    <row r="17" spans="1:7" x14ac:dyDescent="0.3">
      <c r="A17" s="30"/>
    </row>
    <row r="18" spans="1:7" x14ac:dyDescent="0.3">
      <c r="A18" t="s">
        <v>95</v>
      </c>
      <c r="F18" t="s">
        <v>96</v>
      </c>
    </row>
    <row r="19" spans="1:7" x14ac:dyDescent="0.3">
      <c r="B19">
        <v>2013</v>
      </c>
      <c r="C19">
        <v>2012</v>
      </c>
      <c r="D19">
        <v>2011</v>
      </c>
      <c r="E19">
        <v>2010</v>
      </c>
      <c r="F19" t="s">
        <v>92</v>
      </c>
      <c r="G19" t="s">
        <v>91</v>
      </c>
    </row>
    <row r="20" spans="1:7" x14ac:dyDescent="0.3">
      <c r="A20" s="30" t="s">
        <v>11</v>
      </c>
      <c r="C20">
        <v>278</v>
      </c>
      <c r="D20">
        <v>220</v>
      </c>
      <c r="E20">
        <v>147</v>
      </c>
      <c r="F20" s="48">
        <f>(C20-D20)/D20</f>
        <v>0.26363636363636361</v>
      </c>
      <c r="G20" s="48">
        <f>(D20-E20)/E20</f>
        <v>0.49659863945578231</v>
      </c>
    </row>
    <row r="21" spans="1:7" x14ac:dyDescent="0.3">
      <c r="A21" s="30" t="s">
        <v>13</v>
      </c>
      <c r="C21">
        <v>242</v>
      </c>
      <c r="D21">
        <v>185</v>
      </c>
      <c r="E21">
        <v>138</v>
      </c>
      <c r="F21" s="48">
        <f t="shared" ref="F21:F31" si="2">(C21-D21)/D21</f>
        <v>0.30810810810810813</v>
      </c>
      <c r="G21" s="48">
        <f t="shared" ref="G21:G31" si="3">(D21-E21)/E21</f>
        <v>0.34057971014492755</v>
      </c>
    </row>
    <row r="22" spans="1:7" x14ac:dyDescent="0.3">
      <c r="A22" s="30" t="s">
        <v>14</v>
      </c>
      <c r="C22">
        <v>247</v>
      </c>
      <c r="D22">
        <v>156</v>
      </c>
      <c r="E22">
        <v>138</v>
      </c>
      <c r="F22" s="48">
        <f t="shared" si="2"/>
        <v>0.58333333333333337</v>
      </c>
      <c r="G22" s="48">
        <f t="shared" si="3"/>
        <v>0.13043478260869565</v>
      </c>
    </row>
    <row r="23" spans="1:7" x14ac:dyDescent="0.3">
      <c r="A23" s="30" t="s">
        <v>15</v>
      </c>
      <c r="C23">
        <v>232</v>
      </c>
      <c r="D23">
        <v>142</v>
      </c>
      <c r="E23">
        <v>137</v>
      </c>
      <c r="F23" s="48">
        <f t="shared" si="2"/>
        <v>0.63380281690140849</v>
      </c>
      <c r="G23" s="48">
        <f t="shared" si="3"/>
        <v>3.6496350364963501E-2</v>
      </c>
    </row>
    <row r="24" spans="1:7" x14ac:dyDescent="0.3">
      <c r="A24" s="30" t="s">
        <v>7</v>
      </c>
      <c r="C24">
        <v>200</v>
      </c>
      <c r="D24">
        <v>160</v>
      </c>
      <c r="E24">
        <v>119</v>
      </c>
      <c r="F24" s="48">
        <f t="shared" si="2"/>
        <v>0.25</v>
      </c>
      <c r="G24" s="48">
        <f t="shared" si="3"/>
        <v>0.34453781512605042</v>
      </c>
    </row>
    <row r="25" spans="1:7" x14ac:dyDescent="0.3">
      <c r="A25" s="30" t="s">
        <v>4</v>
      </c>
      <c r="C25">
        <v>211</v>
      </c>
      <c r="D25">
        <v>161</v>
      </c>
      <c r="E25">
        <v>147</v>
      </c>
      <c r="F25" s="48">
        <f t="shared" si="2"/>
        <v>0.3105590062111801</v>
      </c>
      <c r="G25" s="48">
        <f t="shared" si="3"/>
        <v>9.5238095238095233E-2</v>
      </c>
    </row>
    <row r="26" spans="1:7" x14ac:dyDescent="0.3">
      <c r="A26" s="30" t="s">
        <v>5</v>
      </c>
      <c r="C26">
        <v>239</v>
      </c>
      <c r="D26">
        <v>192</v>
      </c>
      <c r="E26">
        <v>136</v>
      </c>
      <c r="F26" s="48">
        <f t="shared" si="2"/>
        <v>0.24479166666666666</v>
      </c>
      <c r="G26" s="48">
        <f t="shared" si="3"/>
        <v>0.41176470588235292</v>
      </c>
    </row>
    <row r="27" spans="1:7" x14ac:dyDescent="0.3">
      <c r="A27" s="30" t="s">
        <v>16</v>
      </c>
      <c r="C27">
        <v>230</v>
      </c>
      <c r="D27">
        <v>196</v>
      </c>
      <c r="E27">
        <v>150</v>
      </c>
      <c r="F27" s="48">
        <f t="shared" si="2"/>
        <v>0.17346938775510204</v>
      </c>
      <c r="G27" s="48">
        <f t="shared" si="3"/>
        <v>0.30666666666666664</v>
      </c>
    </row>
    <row r="28" spans="1:7" x14ac:dyDescent="0.3">
      <c r="A28" s="30" t="s">
        <v>17</v>
      </c>
      <c r="C28">
        <v>213</v>
      </c>
      <c r="D28">
        <v>196</v>
      </c>
      <c r="E28">
        <v>159</v>
      </c>
      <c r="F28" s="48">
        <f t="shared" si="2"/>
        <v>8.673469387755102E-2</v>
      </c>
      <c r="G28" s="48">
        <f t="shared" si="3"/>
        <v>0.23270440251572327</v>
      </c>
    </row>
    <row r="29" spans="1:7" x14ac:dyDescent="0.3">
      <c r="A29" s="30" t="s">
        <v>18</v>
      </c>
      <c r="D29">
        <v>202</v>
      </c>
      <c r="E29">
        <v>161</v>
      </c>
      <c r="F29" s="48">
        <f t="shared" si="2"/>
        <v>-1</v>
      </c>
      <c r="G29" s="48">
        <f t="shared" si="3"/>
        <v>0.25465838509316768</v>
      </c>
    </row>
    <row r="30" spans="1:7" x14ac:dyDescent="0.3">
      <c r="A30" s="30" t="s">
        <v>19</v>
      </c>
      <c r="D30">
        <v>177</v>
      </c>
      <c r="E30">
        <v>161</v>
      </c>
      <c r="F30" s="48">
        <f t="shared" si="2"/>
        <v>-1</v>
      </c>
      <c r="G30" s="48">
        <f t="shared" si="3"/>
        <v>9.9378881987577633E-2</v>
      </c>
    </row>
    <row r="31" spans="1:7" x14ac:dyDescent="0.3">
      <c r="A31" s="30" t="s">
        <v>20</v>
      </c>
      <c r="D31">
        <v>209</v>
      </c>
      <c r="E31">
        <v>178</v>
      </c>
      <c r="F31" s="48">
        <f t="shared" si="2"/>
        <v>-1</v>
      </c>
      <c r="G31" s="48">
        <f t="shared" si="3"/>
        <v>0.17415730337078653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 req projections</vt:lpstr>
      <vt:lpstr>volume projections</vt:lpstr>
      <vt:lpstr>productivity estimates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Team</cp:lastModifiedBy>
  <dcterms:created xsi:type="dcterms:W3CDTF">2012-10-01T16:26:51Z</dcterms:created>
  <dcterms:modified xsi:type="dcterms:W3CDTF">2012-10-04T18:12:43Z</dcterms:modified>
</cp:coreProperties>
</file>